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60" windowHeight="11115" tabRatio="988" activeTab="0"/>
  </bookViews>
  <sheets>
    <sheet name="Осн. фін. пок." sheetId="1" r:id="rId1"/>
    <sheet name="18" sheetId="2" r:id="rId2"/>
    <sheet name="Лист2" sheetId="3" r:id="rId3"/>
    <sheet name="Лист3" sheetId="4" r:id="rId4"/>
    <sheet name="Лист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XGRAPH3">NA()</definedName>
    <definedName name="_xlnm._FilterDatabase" localSheetId="2" hidden="1">'Лист2'!$A$5:$K$171</definedName>
    <definedName name="_xlnm._FilterDatabase" localSheetId="0" hidden="1">'Осн. фін. пок.'!$A$29:$O$181</definedName>
    <definedName name="aa">(NA(),NA())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'[1]Inform'!$E$6</definedName>
    <definedName name="ClDate_21">NA()</definedName>
    <definedName name="ClDate_25">NA()</definedName>
    <definedName name="ClDate_6">'[2]Inform'!$E$6</definedName>
    <definedName name="CompName">'[1]Inform'!$F$2</definedName>
    <definedName name="CompName_21">NA()</definedName>
    <definedName name="CompName_25">NA()</definedName>
    <definedName name="CompName_6">'[2]Inform'!$F$2</definedName>
    <definedName name="CompNameE">'[1]Inform'!$G$2</definedName>
    <definedName name="CompNameE_21">NA()</definedName>
    <definedName name="CompNameE_25">NA()</definedName>
    <definedName name="CompNameE_6">'[2]Inform'!$G$2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Excel_BuiltIn_Print_Titles" localSheetId="0">'Осн. фін. пок.'!$A$27:$A$29</definedName>
    <definedName name="Fact_Type_ID">NA()</definedName>
    <definedName name="G">NA()</definedName>
    <definedName name="ij1sssss">NA()</definedName>
    <definedName name="LastItem">'[3]Лист1'!$A$1</definedName>
    <definedName name="Load">NA()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NA()</definedName>
    <definedName name="Load_ID_21">NA()</definedName>
    <definedName name="Load_ID_23">'[8]МТР Газ України'!$B$4</definedName>
    <definedName name="Load_ID_25">NA()</definedName>
    <definedName name="Load_ID_542">NA()</definedName>
    <definedName name="Load_ID_6">'[6]МТР Газ України'!$B$4</definedName>
    <definedName name="OpDate">'[1]Inform'!$E$5</definedName>
    <definedName name="OpDate_21">NA()</definedName>
    <definedName name="OpDate_25">NA()</definedName>
    <definedName name="OpDate_6">'[2]Inform'!$E$5</definedName>
    <definedName name="QR">NA()</definedName>
    <definedName name="qw">NA()</definedName>
    <definedName name="qwert">NA()</definedName>
    <definedName name="qwerty">NA()</definedName>
    <definedName name="ShowFil">[3]!ShowFil</definedName>
    <definedName name="SU_ID">NA()</definedName>
    <definedName name="Time_ID">'[4]МТР Газ України'!$B$1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NA()</definedName>
    <definedName name="Time_ID_23">'[8]МТР Газ України'!$B$1</definedName>
    <definedName name="Time_ID_25">NA()</definedName>
    <definedName name="Time_ID_6">'[6]МТР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NA()</definedName>
    <definedName name="Time_ID0_23">'[8]МТР Газ України'!$F$1</definedName>
    <definedName name="Time_ID0_25">NA()</definedName>
    <definedName name="Time_ID0_6">'[6]МТР Газ України'!$F$1</definedName>
    <definedName name="ttttttt">NA()</definedName>
    <definedName name="Unit">'[1]Inform'!$E$38</definedName>
    <definedName name="Unit_21">NA()</definedName>
    <definedName name="Unit_25">NA()</definedName>
    <definedName name="Unit_6">'[2]Inform'!$E$38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_xlnm.Print_Titles" localSheetId="0">'Осн. фін. пок.'!$27:$29</definedName>
    <definedName name="Заголовки_для_печати_МИ">(NA(),NA())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'[9]7  Інші витрати'!#REF!</definedName>
    <definedName name="іваф">NA()</definedName>
    <definedName name="івів">NA()</definedName>
    <definedName name="іцу">NA()</definedName>
    <definedName name="йуц">NA()</definedName>
    <definedName name="йцу">NA()</definedName>
    <definedName name="йцуйй">NA()</definedName>
    <definedName name="йцукц">'[9]7  Інші витрати'!#REF!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NA()</definedName>
    <definedName name="ппп">'[10]Inform'!$E$6</definedName>
    <definedName name="р">NA()</definedName>
    <definedName name="т">NA()</definedName>
    <definedName name="тариф">'[11]Inform'!$G$2</definedName>
    <definedName name="уйцукйцуйу">NA()</definedName>
    <definedName name="уке">NA()</definedName>
    <definedName name="УТГ">NA()</definedName>
    <definedName name="фів">NA()</definedName>
    <definedName name="фіваіф">'[9]7  Інші витрати'!#REF!</definedName>
    <definedName name="фф">NA()</definedName>
    <definedName name="ц">NA()</definedName>
    <definedName name="ччч">NA()</definedName>
    <definedName name="ш">NA()</definedName>
  </definedNames>
  <calcPr fullCalcOnLoad="1"/>
</workbook>
</file>

<file path=xl/sharedStrings.xml><?xml version="1.0" encoding="utf-8"?>
<sst xmlns="http://schemas.openxmlformats.org/spreadsheetml/2006/main" count="668" uniqueCount="435">
  <si>
    <t>Додаток 2</t>
  </si>
  <si>
    <t xml:space="preserve">до Порядку складання, затвердження </t>
  </si>
  <si>
    <t xml:space="preserve">та контролю виконання фінансового плану </t>
  </si>
  <si>
    <t>комунального підпримєства</t>
  </si>
  <si>
    <t>Рік</t>
  </si>
  <si>
    <t>Коди</t>
  </si>
  <si>
    <t>Підприємство  Комунальне підприємство «Міський тролейбус»</t>
  </si>
  <si>
    <t xml:space="preserve">за ЄДРПОУ </t>
  </si>
  <si>
    <t>Організаційно-правова форма   Комунальне підприємство</t>
  </si>
  <si>
    <t>за КОПФГ</t>
  </si>
  <si>
    <t>Територія   Дніпровська</t>
  </si>
  <si>
    <t>за КОАТУУ</t>
  </si>
  <si>
    <r>
      <t xml:space="preserve">Орган управління  </t>
    </r>
    <r>
      <rPr>
        <b/>
        <i/>
        <sz val="12"/>
        <rFont val="Times New Roman"/>
        <family val="1"/>
      </rPr>
      <t xml:space="preserve">  </t>
    </r>
  </si>
  <si>
    <t>за СПОДУ</t>
  </si>
  <si>
    <t xml:space="preserve">Галузь     </t>
  </si>
  <si>
    <t>за ЗКГНГ</t>
  </si>
  <si>
    <t>Вид економічної діяльності    Пасажирський наземний транспорт міського та приміського сполучення</t>
  </si>
  <si>
    <t xml:space="preserve">за  КВЕД  </t>
  </si>
  <si>
    <t>49.31</t>
  </si>
  <si>
    <t>Одиниця виміру, тис. грн Стандарти звітності П(с)БОУ</t>
  </si>
  <si>
    <t>Стандарти звітності П(с)БОУ</t>
  </si>
  <si>
    <t>Форма власності</t>
  </si>
  <si>
    <t>Стандарти звітності МСФЗ</t>
  </si>
  <si>
    <t>Середньооблікова кількість штатних працівників  991</t>
  </si>
  <si>
    <t>Місцезнаходження  вул. Дніпровське шосе буд.22, Довгинцівський р-н,м.Кривий Ріг Дніпропетровська обл.,50086</t>
  </si>
  <si>
    <t>Телефон 409-45-65</t>
  </si>
  <si>
    <t>Прізвище та ініціали керівника  Приходько О.Я.</t>
  </si>
  <si>
    <t>ЗВІТ</t>
  </si>
  <si>
    <t xml:space="preserve">ПРО ВИКОНАННЯ ФІНАНСОВОГО ПЛАНУ ПІДПРИЄМСТВА 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</si>
  <si>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</si>
  <si>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</si>
  <si>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</si>
  <si>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</si>
  <si>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</si>
  <si>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1 кв 18г</t>
  </si>
  <si>
    <t>2 кв</t>
  </si>
  <si>
    <t>ІІ кв 18г</t>
  </si>
  <si>
    <t>ІIІ кв 18г</t>
  </si>
  <si>
    <t>минулий рік16</t>
  </si>
  <si>
    <t>минулий рік17</t>
  </si>
  <si>
    <t>поточний рік18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</si>
  <si>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</si>
  <si>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</si>
  <si>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</si>
  <si>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</si>
  <si>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</si>
  <si>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</si>
  <si>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Адресна допомога на відшкодування безкоштовного проїзду пасажирів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</si>
  <si>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</si>
  <si>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</si>
  <si>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</si>
  <si>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</si>
  <si>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</si>
  <si>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</si>
  <si>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</si>
  <si>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</si>
  <si>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</si>
  <si>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</si>
  <si>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</si>
  <si>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</si>
  <si>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</si>
  <si>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</si>
  <si>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</si>
  <si>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</si>
  <si>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</si>
  <si>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</si>
  <si>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</si>
  <si>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</si>
  <si>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</si>
  <si>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</si>
  <si>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</si>
  <si>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</si>
  <si>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</si>
  <si>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</si>
  <si>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</si>
  <si>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</si>
  <si>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</si>
  <si>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</si>
  <si>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</si>
  <si>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</si>
  <si>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</si>
  <si>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</si>
  <si>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</si>
  <si>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</si>
  <si>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</si>
  <si>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</si>
  <si>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</si>
  <si>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</si>
  <si>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</si>
  <si>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</si>
  <si>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</si>
  <si>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</si>
  <si>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</si>
  <si>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</si>
  <si>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</si>
  <si>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</si>
  <si>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</si>
  <si>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</si>
  <si>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</si>
  <si>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</si>
  <si>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</si>
  <si>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</si>
  <si>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</si>
  <si>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</si>
  <si>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</si>
  <si>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</si>
  <si>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</si>
  <si>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</si>
  <si>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</si>
  <si>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</si>
  <si>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</si>
  <si>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</si>
  <si>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</si>
  <si>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</si>
  <si>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</si>
  <si>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</si>
  <si>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</si>
  <si>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</si>
  <si>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</si>
  <si>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IІІ. Рух грошових коштів </t>
  </si>
  <si>
    <r>
      <t>Залишок коштів на початок періоду</t>
    </r>
    <r>
      <rPr>
        <b/>
        <sz val="14"/>
        <color indexed="8"/>
        <rFont val="Times New Roman"/>
        <family val="1"/>
      </rPr>
      <t xml:space="preserve"> </t>
    </r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</si>
  <si>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</si>
  <si>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</si>
  <si>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</si>
  <si>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</si>
  <si>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</si>
  <si>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</si>
  <si>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</si>
  <si>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</si>
  <si>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</si>
  <si>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</si>
  <si>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</si>
  <si>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</si>
  <si>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</si>
  <si>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</si>
  <si>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</si>
  <si>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розробка технічного проекту і конструкторської документації з виготовлення низкопольного тролейбуса</t>
  </si>
  <si>
    <t>розробка та погодження технічних умов на тролейбус низкопольн.</t>
  </si>
  <si>
    <t>розробка, погодження програми приймальних випробувань та виконання приймальних випробувань тролейбуса низькопольного</t>
  </si>
  <si>
    <t>сертифікація виготовленого низькопольного тролейбуса</t>
  </si>
  <si>
    <t>роботи по виконанню капітально-відновлювальних ремонтів</t>
  </si>
  <si>
    <t xml:space="preserve">Придбання паливно-мастильних матеріалів для роботи тролейбусів з ДГУ (дизель-генераторною установкою) </t>
  </si>
  <si>
    <t>Паливно-мастильні матеріали для  автобусів</t>
  </si>
  <si>
    <t>Оплата електроенергії</t>
  </si>
  <si>
    <t>Оплата водопостачання та водовідведення</t>
  </si>
  <si>
    <t>Придбання  запчастин матеріалів  для виконання поточних ремонтів тролейбусів</t>
  </si>
  <si>
    <t xml:space="preserve">придбання матеріалів, вузлів, агрегатів, кузова для виготовлення (зборки) низькопольного тролейбуса </t>
  </si>
  <si>
    <t>Придбання автошин</t>
  </si>
  <si>
    <t>Придбання  запчастин матеріалів  для виконання поточних ремонтів контактної мережі тролейбуса на окремих ділянках</t>
  </si>
  <si>
    <t>виконання  капітальних та капітально-відновлювальних ремонтів тролейбусів з переобладнанням щодо встановлення електроної системи керування тяговим двигуном та дизель-генераторної установки</t>
  </si>
  <si>
    <t>послуги щодо фінансового лізингу на придбання тролейбусів</t>
  </si>
  <si>
    <t>поповнення статутного капіталу на придбання запчастин і матеріалів для реконструкції лінії живлення контактної мережі тролейбуса від тягової підстанції №21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</si>
  <si>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</si>
  <si>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</si>
  <si>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</si>
  <si>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</si>
  <si>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</si>
  <si>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</si>
  <si>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</si>
  <si>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</si>
  <si>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</si>
  <si>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</si>
  <si>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</si>
  <si>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</si>
  <si>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</si>
  <si>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</si>
  <si>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</si>
  <si>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</si>
  <si>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</si>
  <si>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</si>
  <si>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</si>
  <si>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</si>
  <si>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</si>
  <si>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</si>
  <si>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</si>
  <si>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</si>
  <si>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</si>
  <si>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</si>
  <si>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</si>
  <si>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</si>
  <si>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</si>
  <si>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</si>
  <si>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</si>
  <si>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</si>
  <si>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</si>
  <si>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</si>
  <si>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</si>
  <si>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</si>
  <si>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</si>
  <si>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</si>
  <si>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</si>
  <si>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</si>
  <si>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</si>
  <si>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</si>
  <si>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</si>
  <si>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</si>
  <si>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</si>
  <si>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</si>
  <si>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</si>
  <si>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</si>
  <si>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</si>
  <si>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</si>
  <si>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</si>
  <si>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</si>
  <si>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</si>
  <si>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</si>
  <si>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А.И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</si>
  <si>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</si>
  <si>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</si>
  <si>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</si>
  <si>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</si>
  <si>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</si>
  <si>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 КП «Міський тролейбус»   _____________________________________</t>
  </si>
  <si>
    <t xml:space="preserve">О.Я.Приходько  </t>
  </si>
  <si>
    <t xml:space="preserve">                                                 (посада)</t>
  </si>
  <si>
    <t xml:space="preserve">                (підпис)   (ініціали, прізвище)                   </t>
  </si>
  <si>
    <t xml:space="preserve">Додаток 1   </t>
  </si>
  <si>
    <t xml:space="preserve">до Порядку складання, затвердження та контролю виконання фінансового плану комунального підприємства </t>
  </si>
  <si>
    <t xml:space="preserve">ЗАТВЕРДЖУЮ  </t>
  </si>
  <si>
    <t>Заступник начальника управління благоустрою та житлової політики виконкому Криворізької міськради</t>
  </si>
  <si>
    <t>(посада керівника органу управління підприємством)</t>
  </si>
  <si>
    <t>Терещенко І.В.</t>
  </si>
  <si>
    <t>М. П. (підпис, ініціал, прізвище)</t>
  </si>
  <si>
    <t>дата</t>
  </si>
  <si>
    <t>Одиниця виміру, тис. грн</t>
  </si>
  <si>
    <t>Середньооблікова кількість штатних працівників  972</t>
  </si>
  <si>
    <t>Місцезнаходження  вул. Дніпровське шосе буд.22,Довгинцівський р-н,м.Кривий Ріг Дніпропетровська обл.,50086</t>
  </si>
  <si>
    <t>ФІНАНСОВИЙ ПЛАН ПІДПРИЄМСТВА НА  2017 рік   (зі змінами)</t>
  </si>
  <si>
    <t>Факт 2015 року</t>
  </si>
  <si>
    <t>Фінансовий план 2016 року</t>
  </si>
  <si>
    <t>Прогноз на 2016 рік</t>
  </si>
  <si>
    <t>2017 рік</t>
  </si>
  <si>
    <t>У тому числі за кварталами планового року</t>
  </si>
  <si>
    <t xml:space="preserve">І  </t>
  </si>
  <si>
    <t xml:space="preserve">ІІ  </t>
  </si>
  <si>
    <t xml:space="preserve">ІІІ  </t>
  </si>
  <si>
    <t xml:space="preserve">ІV </t>
  </si>
  <si>
    <t>Чистий доход від реалізації продукції (товарів, робіт, послуг)</t>
  </si>
  <si>
    <t>Адміністративні витрати</t>
  </si>
  <si>
    <t>Інші операційні доходи</t>
  </si>
  <si>
    <t>Доход від участі в капіталі</t>
  </si>
  <si>
    <t>Інші доходи</t>
  </si>
  <si>
    <t>Інші витрати</t>
  </si>
  <si>
    <t>Доход з податку на прибуток</t>
  </si>
  <si>
    <t>Сплата податків та зборів до Державного бюджету України (податкові платежі)</t>
  </si>
  <si>
    <t>Продовження додатка 1</t>
  </si>
  <si>
    <t>Сплата податків та зборів до місцевих бюджетів (податкові платежі), усього, у тому числі</t>
  </si>
  <si>
    <t>податок на доходи фізичних осіб</t>
  </si>
  <si>
    <t>плата за землю</t>
  </si>
  <si>
    <t>податок на прибуток підприємств та фінансових установ комунальної власності</t>
  </si>
  <si>
    <t>частина чистого прибутку (доходу) комунальних унітарних підприємств та їх об'єднань, що вилучається до бюджету</t>
  </si>
  <si>
    <t>надходження від орендної плати за користування майном, що перебуває в комунальній власності</t>
  </si>
  <si>
    <t>податок на нерухоме майно, відмінне від земельної ділянки</t>
  </si>
  <si>
    <t>інші</t>
  </si>
  <si>
    <t xml:space="preserve">Усього </t>
  </si>
  <si>
    <t>ІІІ. Рух грошових коштів</t>
  </si>
  <si>
    <t>Залишок коштів на початок періоду</t>
  </si>
  <si>
    <t>IV. Капітальні інвестиції</t>
  </si>
  <si>
    <t>Капітальні інвестиції</t>
  </si>
  <si>
    <t>основні засоби</t>
  </si>
  <si>
    <t>гроші та їх еквіваленти</t>
  </si>
  <si>
    <t>Довгострокові зобов'язання й забезпечення</t>
  </si>
  <si>
    <t>Поточні зобов'язання й забезпечення</t>
  </si>
  <si>
    <t>Усього зобов'язання й забезпечення</t>
  </si>
  <si>
    <t>У тому числі державні гранти та субсидії</t>
  </si>
  <si>
    <r>
      <t xml:space="preserve">Середня кількість працівників </t>
    </r>
    <r>
      <rPr>
        <sz val="12"/>
        <rFont val="Times New Roman"/>
        <family val="1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2"/>
        <rFont val="Times New Roman"/>
        <family val="1"/>
      </rPr>
      <t>, у тому числі:</t>
    </r>
  </si>
  <si>
    <t>Середньомісячні витрати на оплату праці одного працівника (грн.), усього, у тому числі:</t>
  </si>
  <si>
    <t xml:space="preserve">Директор КП «Міський тролейбус»   </t>
  </si>
  <si>
    <t>_____________________________</t>
  </si>
  <si>
    <t xml:space="preserve">                  Приходько О.Я.</t>
  </si>
  <si>
    <t>(підпис)</t>
  </si>
  <si>
    <t xml:space="preserve">(ініціал, прізвище)    </t>
  </si>
  <si>
    <t xml:space="preserve">ПОГОДЖЕНО </t>
  </si>
  <si>
    <t xml:space="preserve">Начальник управління економіки  виконкому Криворізької міської ради </t>
  </si>
  <si>
    <t>(посада керівника управління, який розглянув фінансовий план)</t>
  </si>
  <si>
    <t xml:space="preserve">       Підпалько Т.А.</t>
  </si>
  <si>
    <t xml:space="preserve">                              (підпис, ініціал, прізвище)</t>
  </si>
  <si>
    <t>________________________</t>
  </si>
  <si>
    <t>(дата)</t>
  </si>
  <si>
    <t xml:space="preserve">Начальник фінансового управління  виконкому Криворізької міської ради </t>
  </si>
  <si>
    <t xml:space="preserve">       Рожко О.В.</t>
  </si>
  <si>
    <t xml:space="preserve">Начальник управління комунальної власності виконкому </t>
  </si>
  <si>
    <t>Криворізької міської ради</t>
  </si>
  <si>
    <t xml:space="preserve">       Растєгаєва Т.О.</t>
  </si>
  <si>
    <t xml:space="preserve"> Формування фінансових результатів на 2017 рік</t>
  </si>
  <si>
    <t>Фінансовий план     2016 року</t>
  </si>
  <si>
    <t>Плановий 2017 рік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</si>
  <si>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</si>
  <si>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</si>
  <si>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</si>
  <si>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</si>
  <si>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</si>
  <si>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</si>
  <si>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</si>
  <si>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</si>
  <si>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витрати, всього:</t>
  </si>
  <si>
    <t>в т.ч. - податок на землю</t>
  </si>
  <si>
    <t xml:space="preserve">         - плата за воду</t>
  </si>
  <si>
    <t xml:space="preserve">         - податок на воду</t>
  </si>
  <si>
    <t xml:space="preserve">         - вивіз сміття </t>
  </si>
  <si>
    <t xml:space="preserve">         - обслуговування радіотерміналів, комп'ютерів</t>
  </si>
  <si>
    <t xml:space="preserve">         - повірка, ремонт приборів</t>
  </si>
  <si>
    <t xml:space="preserve">          - підготовка кадрів</t>
  </si>
  <si>
    <t xml:space="preserve">          - ремонт тролейбусів</t>
  </si>
  <si>
    <t xml:space="preserve">          - техдокументація</t>
  </si>
  <si>
    <t xml:space="preserve">         - страхування</t>
  </si>
  <si>
    <t xml:space="preserve">         - т/о приборів пожарної сигналізації</t>
  </si>
  <si>
    <t xml:space="preserve">         - т/о тролейбусів,  а/транспорту,  контактної мережі</t>
  </si>
  <si>
    <t xml:space="preserve">         - транспортні послуги</t>
  </si>
  <si>
    <t xml:space="preserve">         - послуги поліклініки</t>
  </si>
  <si>
    <t xml:space="preserve">         - послуги зв'язку</t>
  </si>
  <si>
    <t xml:space="preserve">         - оренда</t>
  </si>
  <si>
    <t xml:space="preserve">         - вихідна допомога</t>
  </si>
  <si>
    <t xml:space="preserve">         - відрядження </t>
  </si>
  <si>
    <t xml:space="preserve">         - ПДВ</t>
  </si>
  <si>
    <t xml:space="preserve">        - оплата лікарняних листів</t>
  </si>
  <si>
    <t xml:space="preserve">        - резерв відпусток</t>
  </si>
  <si>
    <t xml:space="preserve">        - собівартість реалізованої продукції (товарів, робіт, послуг)</t>
  </si>
  <si>
    <t xml:space="preserve">        - інші операційні витрати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</si>
  <si>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</si>
  <si>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</si>
  <si>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</si>
  <si>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</si>
  <si>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</si>
  <si>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</si>
  <si>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</si>
  <si>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</si>
  <si>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</si>
  <si>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</si>
  <si>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</si>
  <si>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</si>
  <si>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</si>
  <si>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</si>
  <si>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</si>
  <si>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</si>
  <si>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</si>
  <si>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</si>
  <si>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витрати, всього:</t>
  </si>
  <si>
    <t>в т.ч. - електроенергія</t>
  </si>
  <si>
    <t xml:space="preserve">         - плата на воду</t>
  </si>
  <si>
    <t xml:space="preserve">         - МБП</t>
  </si>
  <si>
    <t xml:space="preserve">         - обслуговування комп'ютерної техніки</t>
  </si>
  <si>
    <t xml:space="preserve">         - ремонт автомобілів </t>
  </si>
  <si>
    <t xml:space="preserve">         - складання  техюдокументації</t>
  </si>
  <si>
    <t xml:space="preserve">         - податок на землю</t>
  </si>
  <si>
    <t xml:space="preserve">         - судовий збір</t>
  </si>
  <si>
    <t xml:space="preserve">         - резерв відпусток</t>
  </si>
  <si>
    <t xml:space="preserve">         - оплата лікарняних</t>
  </si>
  <si>
    <t xml:space="preserve">         - тендер</t>
  </si>
  <si>
    <t xml:space="preserve">         - послуги банку</t>
  </si>
  <si>
    <t xml:space="preserve">        - послуги інтернету</t>
  </si>
  <si>
    <t xml:space="preserve">        - ПДВ</t>
  </si>
  <si>
    <t xml:space="preserve">        - експертна оцінка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</si>
  <si>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</si>
  <si>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</si>
  <si>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</si>
  <si>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</si>
  <si>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</si>
  <si>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</si>
  <si>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</si>
  <si>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фінансова підтримка</t>
  </si>
  <si>
    <t xml:space="preserve">субвенція з державного бюджету (2015р), компенс.з міського бюджету(2016-2017) </t>
  </si>
  <si>
    <t>інші операційні доходи :</t>
  </si>
  <si>
    <t>у т.ч. - доход від здачі металобрухту  та операцій з ТМЦ</t>
  </si>
  <si>
    <t xml:space="preserve">         - реклама</t>
  </si>
  <si>
    <t xml:space="preserve">         - транспортні послуги </t>
  </si>
  <si>
    <t xml:space="preserve">         - оренда  </t>
  </si>
  <si>
    <t xml:space="preserve">         - виконані роботи</t>
  </si>
  <si>
    <t xml:space="preserve">         - послуги по передачі електроенергії</t>
  </si>
  <si>
    <t xml:space="preserve">         - послуги по передачі води, стоків</t>
  </si>
  <si>
    <t xml:space="preserve">         - послуги передрейсового медогляду</t>
  </si>
  <si>
    <t xml:space="preserve">         - спецодяг</t>
  </si>
  <si>
    <t xml:space="preserve">         - відшкодування за телефонні розмови</t>
  </si>
  <si>
    <t xml:space="preserve">         - за матеріальний ущерб </t>
  </si>
  <si>
    <t xml:space="preserve">         - доход від спільного користування електричними мережами</t>
  </si>
  <si>
    <t xml:space="preserve">         - доход за простой тролейбуса</t>
  </si>
  <si>
    <t xml:space="preserve">         - доход від відшкодування за службові посвідчення </t>
  </si>
  <si>
    <t xml:space="preserve">         - відшкодування по земельному податку </t>
  </si>
  <si>
    <t xml:space="preserve">         - компенсація середньої заробітної плати призван.під час мобілізації   </t>
  </si>
  <si>
    <t xml:space="preserve">         - штрафи, пені</t>
  </si>
  <si>
    <t>Інші операційні витрати, усього, у тому числі:</t>
  </si>
  <si>
    <t>нетипові операційні витрати 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</si>
  <si>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</si>
  <si>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</si>
  <si>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</si>
  <si>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витрати:</t>
  </si>
  <si>
    <t>в т.ч. - матеріали,  ПММ</t>
  </si>
  <si>
    <t xml:space="preserve">         - амортизація</t>
  </si>
  <si>
    <t xml:space="preserve">         - фонд оплати праці</t>
  </si>
  <si>
    <t xml:space="preserve">         - відрахування на соціальні заходи</t>
  </si>
  <si>
    <t xml:space="preserve">         - за нестворення робочих місць для інвалідів</t>
  </si>
  <si>
    <t xml:space="preserve">         - ритуальні послуги</t>
  </si>
  <si>
    <t xml:space="preserve">         - відшкодування матеріального збитку</t>
  </si>
  <si>
    <t xml:space="preserve">         - пільгова пенсія</t>
  </si>
  <si>
    <t xml:space="preserve">         - нестачі і втрати від порчі</t>
  </si>
  <si>
    <t xml:space="preserve">         - відрахування профкому</t>
  </si>
  <si>
    <t xml:space="preserve">         - членські внески в корпорацію</t>
  </si>
  <si>
    <t xml:space="preserve">         - проведення моніторингу ЖКГ</t>
  </si>
  <si>
    <t xml:space="preserve">         - матеріальна допомога на поховання </t>
  </si>
  <si>
    <t xml:space="preserve">         - інші послуги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</si>
  <si>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</si>
  <si>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</si>
  <si>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</si>
  <si>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 % за кредит банку)</t>
  </si>
  <si>
    <t>інші доходи (амортизація на безкоштовно отримані активи)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</si>
  <si>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</si>
  <si>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</si>
  <si>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</si>
  <si>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</si>
  <si>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Директор КП «Міський тролейбус» _____________________________________</t>
  </si>
  <si>
    <t>_________________________</t>
  </si>
  <si>
    <t xml:space="preserve">              Приходько О.Я.</t>
  </si>
  <si>
    <t xml:space="preserve">                                (посада)</t>
  </si>
  <si>
    <t xml:space="preserve">               (підпис)</t>
  </si>
  <si>
    <t xml:space="preserve"> (ініціали, прізвище)    </t>
  </si>
  <si>
    <t xml:space="preserve"> Капітальні інвестиції </t>
  </si>
  <si>
    <t>План на 2017 рік (усього)</t>
  </si>
  <si>
    <t>Капітальні інвестиції, усього,
у тому числі:</t>
  </si>
  <si>
    <t>розробка та погодження технічних умов на тролейбус низькопольний</t>
  </si>
  <si>
    <t>сертифікація виготовленого низкопольного тролейбуса</t>
  </si>
  <si>
    <t>Інформація</t>
  </si>
  <si>
    <r>
      <t>до фінансового плану на _</t>
    </r>
    <r>
      <rPr>
        <b/>
        <u val="single"/>
        <sz val="18"/>
        <rFont val="Times New Roman"/>
        <family val="1"/>
      </rPr>
      <t xml:space="preserve">2017_ </t>
    </r>
    <r>
      <rPr>
        <b/>
        <sz val="18"/>
        <rFont val="Times New Roman"/>
        <family val="1"/>
      </rPr>
      <t>рік</t>
    </r>
  </si>
  <si>
    <t>КП «Міський тролейбус»</t>
  </si>
  <si>
    <t>(найменування підприємства)</t>
  </si>
  <si>
    <t xml:space="preserve">       Дані про підприємство, персонал та витрати на оплату праці</t>
  </si>
  <si>
    <t xml:space="preserve">Факт 2015 року </t>
  </si>
  <si>
    <t>Фінансовий план
2016 року</t>
  </si>
  <si>
    <t>2017 рік до прогнозу на 2016 рік, %</t>
  </si>
  <si>
    <t>2017рік до факту  2015 року, %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</si>
  <si>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</si>
  <si>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</si>
  <si>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</si>
  <si>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  Збільшення витрат на оплату праці в 2017 році порівняно з прогнозом 2016 року відбудеться за рахунок росту рівня мінімальної заробітної плати (мін.з/плата з 01.12.16р. - 1600грн., з 01.05.17р. - 1684грн.,  з 01.12.17р. - 1762грн.), а в порівнянні з фактом 2015 року збільшення витрат на оплату праці пояснюється збільшенням чисельності  працюючих (у зв'язку з тим, що з березня 2016р. на підприємстві почалося здійснюватися перевезення пасажирів на міському автобусному маршруті №228 ) та ростом рівня мінімальної заробітної плати у 2016р. - 2017р.     </t>
  </si>
  <si>
    <t>за    2018 рік</t>
  </si>
  <si>
    <t>Звітний період  2018 рік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</si>
</sst>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0.0"/>
    <numFmt numFmtId="177" formatCode="_(* #,##0.0_);_(* \(#,##0.0\);_(* \-_);_(@_)"/>
    <numFmt numFmtId="178" formatCode="\ * #,##0\ ;\ * \(#,##0\);\ * &quot;- &quot;;@\ "/>
    <numFmt numFmtId="179" formatCode="_(* #,##0_);_(* \(#,##0\);_(* \-??_);_(@_)"/>
    <numFmt numFmtId="180" formatCode="_(* #,##0.0_);_(* \(#,##0.0\);_(* \-??_);_(@_)"/>
  </numFmts>
  <fonts count="10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sz val="14"/>
      <color indexed="21"/>
      <name val="Times New Roman"/>
      <family val="1"/>
    </font>
    <font>
      <sz val="14"/>
      <color indexed="8"/>
      <name val="Times New Roman"/>
      <family val="1"/>
    </font>
    <font>
      <sz val="14"/>
      <color indexed="39"/>
      <name val="Times New Roman"/>
      <family val="1"/>
    </font>
    <font>
      <sz val="18"/>
      <name val="Times New Roman"/>
      <family val="1"/>
    </font>
    <font>
      <sz val="18"/>
      <color indexed="21"/>
      <name val="Times New Roman"/>
      <family val="1"/>
    </font>
    <font>
      <sz val="18"/>
      <color indexed="8"/>
      <name val="Times New Roman"/>
      <family val="1"/>
    </font>
    <font>
      <sz val="18"/>
      <color indexed="39"/>
      <name val="Times New Roman"/>
      <family val="1"/>
    </font>
    <font>
      <u val="single"/>
      <sz val="18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8"/>
      <color indexed="21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39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color indexed="14"/>
      <name val="Times New Roman"/>
      <family val="1"/>
    </font>
    <font>
      <b/>
      <sz val="14"/>
      <color indexed="14"/>
      <name val="Times New Roman"/>
      <family val="1"/>
    </font>
    <font>
      <i/>
      <sz val="18"/>
      <color indexed="39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b/>
      <u val="single"/>
      <sz val="18"/>
      <name val="Times New Roman"/>
      <family val="1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4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9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89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89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89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9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89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89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9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89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89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89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89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90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90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90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90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90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90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90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90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90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90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90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90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91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92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93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94" fillId="0" borderId="1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95" fillId="0" borderId="1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96" fillId="0" borderId="1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9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98" fillId="51" borderId="18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0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1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10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03" fillId="0" borderId="20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105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422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4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60" fillId="4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2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4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 horizontal="left" wrapText="1"/>
    </xf>
    <xf numFmtId="0" fontId="58" fillId="0" borderId="21" xfId="0" applyFont="1" applyFill="1" applyBorder="1" applyAlignment="1">
      <alignment vertical="center"/>
    </xf>
    <xf numFmtId="0" fontId="58" fillId="0" borderId="22" xfId="0" applyFont="1" applyFill="1" applyBorder="1" applyAlignment="1">
      <alignment horizontal="left" vertical="center" wrapText="1"/>
    </xf>
    <xf numFmtId="0" fontId="60" fillId="0" borderId="23" xfId="0" applyFont="1" applyFill="1" applyBorder="1" applyAlignment="1">
      <alignment vertical="center"/>
    </xf>
    <xf numFmtId="0" fontId="60" fillId="0" borderId="3" xfId="0" applyFont="1" applyFill="1" applyBorder="1" applyAlignment="1">
      <alignment horizontal="left" vertical="center"/>
    </xf>
    <xf numFmtId="0" fontId="60" fillId="0" borderId="3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vertical="center"/>
    </xf>
    <xf numFmtId="0" fontId="60" fillId="40" borderId="3" xfId="0" applyFont="1" applyFill="1" applyBorder="1" applyAlignment="1">
      <alignment horizontal="center" vertical="center"/>
    </xf>
    <xf numFmtId="0" fontId="58" fillId="40" borderId="0" xfId="0" applyFont="1" applyFill="1" applyBorder="1" applyAlignment="1">
      <alignment horizontal="center" vertical="center" wrapText="1"/>
    </xf>
    <xf numFmtId="0" fontId="59" fillId="40" borderId="0" xfId="0" applyFont="1" applyFill="1" applyBorder="1" applyAlignment="1">
      <alignment horizontal="right" vertical="center" wrapText="1"/>
    </xf>
    <xf numFmtId="0" fontId="60" fillId="40" borderId="0" xfId="0" applyFont="1" applyFill="1" applyBorder="1" applyAlignment="1">
      <alignment horizontal="right" vertical="center" wrapText="1"/>
    </xf>
    <xf numFmtId="0" fontId="61" fillId="40" borderId="0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right" vertical="center"/>
    </xf>
    <xf numFmtId="0" fontId="60" fillId="0" borderId="3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horizontal="left" vertical="center" wrapText="1"/>
    </xf>
    <xf numFmtId="0" fontId="60" fillId="40" borderId="22" xfId="0" applyFont="1" applyFill="1" applyBorder="1" applyAlignment="1">
      <alignment horizontal="lef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61" fillId="40" borderId="21" xfId="0" applyFont="1" applyFill="1" applyBorder="1" applyAlignment="1">
      <alignment horizontal="left" vertical="center" wrapText="1"/>
    </xf>
    <xf numFmtId="0" fontId="60" fillId="40" borderId="22" xfId="0" applyFont="1" applyFill="1" applyBorder="1" applyAlignment="1">
      <alignment vertical="center" wrapText="1"/>
    </xf>
    <xf numFmtId="0" fontId="54" fillId="40" borderId="0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0" fontId="60" fillId="0" borderId="22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vertical="center"/>
    </xf>
    <xf numFmtId="0" fontId="60" fillId="4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6" fillId="4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0" fillId="4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top" wrapText="1"/>
    </xf>
    <xf numFmtId="0" fontId="59" fillId="0" borderId="3" xfId="0" applyFont="1" applyFill="1" applyBorder="1" applyAlignment="1">
      <alignment horizontal="center" vertical="top" wrapText="1"/>
    </xf>
    <xf numFmtId="0" fontId="60" fillId="40" borderId="3" xfId="0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0" fontId="61" fillId="0" borderId="24" xfId="0" applyFont="1" applyFill="1" applyBorder="1" applyAlignment="1">
      <alignment horizontal="center" vertical="top" wrapText="1"/>
    </xf>
    <xf numFmtId="0" fontId="59" fillId="0" borderId="3" xfId="0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center" vertical="center" wrapText="1"/>
    </xf>
    <xf numFmtId="0" fontId="61" fillId="0" borderId="3" xfId="0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/>
    </xf>
    <xf numFmtId="0" fontId="58" fillId="0" borderId="26" xfId="214" applyNumberFormat="1" applyFont="1" applyFill="1" applyBorder="1" applyAlignment="1">
      <alignment horizontal="left" vertical="center" wrapText="1"/>
      <protection locked="0"/>
    </xf>
    <xf numFmtId="0" fontId="58" fillId="0" borderId="26" xfId="0" applyFont="1" applyFill="1" applyBorder="1" applyAlignment="1">
      <alignment horizontal="center" vertical="center" wrapText="1"/>
    </xf>
    <xf numFmtId="175" fontId="59" fillId="40" borderId="26" xfId="0" applyNumberFormat="1" applyFont="1" applyFill="1" applyBorder="1" applyAlignment="1">
      <alignment horizontal="center" vertical="center" wrapText="1"/>
    </xf>
    <xf numFmtId="175" fontId="61" fillId="40" borderId="26" xfId="0" applyNumberFormat="1" applyFont="1" applyFill="1" applyBorder="1" applyAlignment="1">
      <alignment horizontal="center" vertical="center" wrapText="1"/>
    </xf>
    <xf numFmtId="175" fontId="60" fillId="40" borderId="27" xfId="0" applyNumberFormat="1" applyFont="1" applyFill="1" applyBorder="1" applyAlignment="1">
      <alignment horizontal="center" vertical="center"/>
    </xf>
    <xf numFmtId="175" fontId="60" fillId="40" borderId="26" xfId="0" applyNumberFormat="1" applyFont="1" applyFill="1" applyBorder="1" applyAlignment="1">
      <alignment horizontal="center" vertical="center" wrapText="1"/>
    </xf>
    <xf numFmtId="175" fontId="61" fillId="40" borderId="27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8" fillId="0" borderId="3" xfId="214" applyNumberFormat="1" applyFont="1" applyFill="1" applyBorder="1" applyAlignment="1">
      <alignment horizontal="left" vertical="center" wrapText="1"/>
      <protection locked="0"/>
    </xf>
    <xf numFmtId="0" fontId="64" fillId="0" borderId="3" xfId="214" applyNumberFormat="1" applyFont="1" applyFill="1" applyBorder="1" applyAlignment="1">
      <alignment horizontal="left" vertical="center" wrapText="1"/>
      <protection locked="0"/>
    </xf>
    <xf numFmtId="175" fontId="65" fillId="40" borderId="3" xfId="0" applyNumberFormat="1" applyFont="1" applyFill="1" applyBorder="1" applyAlignment="1">
      <alignment horizontal="center" vertical="center" wrapText="1"/>
    </xf>
    <xf numFmtId="175" fontId="67" fillId="40" borderId="3" xfId="0" applyNumberFormat="1" applyFont="1" applyFill="1" applyBorder="1" applyAlignment="1">
      <alignment horizontal="center" vertical="center" wrapText="1"/>
    </xf>
    <xf numFmtId="175" fontId="66" fillId="40" borderId="3" xfId="0" applyNumberFormat="1" applyFont="1" applyFill="1" applyBorder="1" applyAlignment="1">
      <alignment horizontal="center" vertical="center" wrapText="1"/>
    </xf>
    <xf numFmtId="175" fontId="60" fillId="40" borderId="27" xfId="0" applyNumberFormat="1" applyFont="1" applyFill="1" applyBorder="1" applyAlignment="1">
      <alignment horizontal="center"/>
    </xf>
    <xf numFmtId="175" fontId="61" fillId="40" borderId="27" xfId="0" applyNumberFormat="1" applyFont="1" applyFill="1" applyBorder="1" applyAlignment="1">
      <alignment horizontal="center"/>
    </xf>
    <xf numFmtId="0" fontId="58" fillId="0" borderId="3" xfId="0" applyFont="1" applyFill="1" applyBorder="1" applyAlignment="1">
      <alignment horizontal="left" vertical="center" wrapText="1"/>
    </xf>
    <xf numFmtId="0" fontId="58" fillId="40" borderId="3" xfId="0" applyFont="1" applyFill="1" applyBorder="1" applyAlignment="1">
      <alignment horizontal="left" vertical="center" wrapText="1"/>
    </xf>
    <xf numFmtId="0" fontId="58" fillId="40" borderId="3" xfId="0" applyFont="1" applyFill="1" applyBorder="1" applyAlignment="1">
      <alignment horizontal="center" vertical="center"/>
    </xf>
    <xf numFmtId="0" fontId="68" fillId="40" borderId="0" xfId="0" applyFont="1" applyFill="1" applyBorder="1" applyAlignment="1">
      <alignment horizontal="center" vertical="center"/>
    </xf>
    <xf numFmtId="0" fontId="68" fillId="40" borderId="0" xfId="0" applyFont="1" applyFill="1" applyBorder="1" applyAlignment="1">
      <alignment vertical="center"/>
    </xf>
    <xf numFmtId="0" fontId="58" fillId="0" borderId="3" xfId="0" applyFont="1" applyFill="1" applyBorder="1" applyAlignment="1">
      <alignment horizontal="left" vertical="center" wrapText="1" shrinkToFit="1"/>
    </xf>
    <xf numFmtId="0" fontId="64" fillId="0" borderId="3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 applyProtection="1">
      <alignment horizontal="left" vertical="center" wrapText="1"/>
      <protection locked="0"/>
    </xf>
    <xf numFmtId="0" fontId="58" fillId="0" borderId="21" xfId="0" applyFont="1" applyFill="1" applyBorder="1" applyAlignment="1">
      <alignment horizontal="center" vertical="center" wrapText="1"/>
    </xf>
    <xf numFmtId="175" fontId="59" fillId="40" borderId="21" xfId="0" applyNumberFormat="1" applyFont="1" applyFill="1" applyBorder="1" applyAlignment="1">
      <alignment horizontal="center" vertical="center" wrapText="1"/>
    </xf>
    <xf numFmtId="175" fontId="60" fillId="40" borderId="22" xfId="0" applyNumberFormat="1" applyFont="1" applyFill="1" applyBorder="1" applyAlignment="1">
      <alignment horizontal="center" vertical="center" wrapText="1"/>
    </xf>
    <xf numFmtId="175" fontId="61" fillId="40" borderId="22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/>
    </xf>
    <xf numFmtId="175" fontId="60" fillId="56" borderId="27" xfId="0" applyNumberFormat="1" applyFont="1" applyFill="1" applyBorder="1" applyAlignment="1">
      <alignment horizontal="center" vertical="center"/>
    </xf>
    <xf numFmtId="175" fontId="60" fillId="56" borderId="26" xfId="0" applyNumberFormat="1" applyFont="1" applyFill="1" applyBorder="1" applyAlignment="1">
      <alignment horizontal="center" vertical="center" wrapText="1"/>
    </xf>
    <xf numFmtId="0" fontId="58" fillId="0" borderId="26" xfId="296" applyFont="1" applyFill="1" applyBorder="1" applyAlignment="1">
      <alignment horizontal="left" vertical="center" wrapText="1"/>
      <protection/>
    </xf>
    <xf numFmtId="0" fontId="58" fillId="0" borderId="26" xfId="0" applyFont="1" applyFill="1" applyBorder="1" applyAlignment="1">
      <alignment horizontal="center" vertical="center"/>
    </xf>
    <xf numFmtId="0" fontId="58" fillId="0" borderId="3" xfId="296" applyFont="1" applyFill="1" applyBorder="1" applyAlignment="1">
      <alignment horizontal="left" vertical="center" wrapText="1"/>
      <protection/>
    </xf>
    <xf numFmtId="175" fontId="59" fillId="40" borderId="3" xfId="0" applyNumberFormat="1" applyFont="1" applyFill="1" applyBorder="1" applyAlignment="1">
      <alignment horizontal="center" vertical="center" wrapText="1"/>
    </xf>
    <xf numFmtId="175" fontId="60" fillId="40" borderId="3" xfId="0" applyNumberFormat="1" applyFont="1" applyFill="1" applyBorder="1" applyAlignment="1">
      <alignment horizontal="center" vertical="center" wrapText="1"/>
    </xf>
    <xf numFmtId="175" fontId="61" fillId="40" borderId="3" xfId="0" applyNumberFormat="1" applyFont="1" applyFill="1" applyBorder="1" applyAlignment="1">
      <alignment horizontal="center" vertical="center" wrapText="1"/>
    </xf>
    <xf numFmtId="0" fontId="66" fillId="40" borderId="3" xfId="296" applyFont="1" applyFill="1" applyBorder="1" applyAlignment="1">
      <alignment horizontal="left" vertical="center" wrapText="1"/>
      <protection/>
    </xf>
    <xf numFmtId="175" fontId="66" fillId="40" borderId="27" xfId="0" applyNumberFormat="1" applyFont="1" applyFill="1" applyBorder="1" applyAlignment="1">
      <alignment horizontal="center" vertical="center"/>
    </xf>
    <xf numFmtId="175" fontId="67" fillId="40" borderId="27" xfId="0" applyNumberFormat="1" applyFont="1" applyFill="1" applyBorder="1" applyAlignment="1">
      <alignment horizontal="center" vertical="center"/>
    </xf>
    <xf numFmtId="0" fontId="60" fillId="0" borderId="3" xfId="0" applyFont="1" applyFill="1" applyBorder="1" applyAlignment="1">
      <alignment horizontal="left" vertical="center" wrapText="1"/>
    </xf>
    <xf numFmtId="0" fontId="60" fillId="0" borderId="3" xfId="296" applyFont="1" applyFill="1" applyBorder="1" applyAlignment="1">
      <alignment horizontal="left" vertical="center" wrapText="1"/>
      <protection/>
    </xf>
    <xf numFmtId="0" fontId="64" fillId="0" borderId="3" xfId="296" applyFont="1" applyFill="1" applyBorder="1" applyAlignment="1">
      <alignment horizontal="left" vertical="center" wrapText="1"/>
      <protection/>
    </xf>
    <xf numFmtId="0" fontId="58" fillId="0" borderId="3" xfId="296" applyFont="1" applyFill="1" applyBorder="1" applyAlignment="1">
      <alignment horizontal="center" vertical="center"/>
      <protection/>
    </xf>
    <xf numFmtId="175" fontId="65" fillId="40" borderId="26" xfId="0" applyNumberFormat="1" applyFont="1" applyFill="1" applyBorder="1" applyAlignment="1">
      <alignment horizontal="center" vertical="center" wrapText="1"/>
    </xf>
    <xf numFmtId="175" fontId="67" fillId="40" borderId="26" xfId="0" applyNumberFormat="1" applyFont="1" applyFill="1" applyBorder="1" applyAlignment="1">
      <alignment horizontal="center" vertical="center" wrapText="1"/>
    </xf>
    <xf numFmtId="175" fontId="66" fillId="40" borderId="26" xfId="0" applyNumberFormat="1" applyFont="1" applyFill="1" applyBorder="1" applyAlignment="1">
      <alignment horizontal="center" vertical="center" wrapText="1"/>
    </xf>
    <xf numFmtId="0" fontId="66" fillId="0" borderId="3" xfId="296" applyFont="1" applyFill="1" applyBorder="1" applyAlignment="1">
      <alignment horizontal="left" vertical="center" wrapText="1"/>
      <protection/>
    </xf>
    <xf numFmtId="0" fontId="60" fillId="0" borderId="3" xfId="296" applyFont="1" applyFill="1" applyBorder="1" applyAlignment="1">
      <alignment horizontal="center" vertical="center"/>
      <protection/>
    </xf>
    <xf numFmtId="0" fontId="58" fillId="0" borderId="3" xfId="0" applyFont="1" applyFill="1" applyBorder="1" applyAlignment="1" applyProtection="1">
      <alignment horizontal="left" vertical="center" wrapText="1"/>
      <protection locked="0"/>
    </xf>
    <xf numFmtId="175" fontId="58" fillId="0" borderId="26" xfId="0" applyNumberFormat="1" applyFont="1" applyFill="1" applyBorder="1" applyAlignment="1">
      <alignment horizontal="right" vertical="center" wrapText="1"/>
    </xf>
    <xf numFmtId="0" fontId="64" fillId="0" borderId="26" xfId="0" applyFont="1" applyFill="1" applyBorder="1" applyAlignment="1" applyProtection="1">
      <alignment horizontal="left" vertical="center" wrapText="1"/>
      <protection locked="0"/>
    </xf>
    <xf numFmtId="0" fontId="58" fillId="0" borderId="24" xfId="0" applyFont="1" applyFill="1" applyBorder="1" applyAlignment="1">
      <alignment horizontal="center" vertical="center"/>
    </xf>
    <xf numFmtId="0" fontId="64" fillId="0" borderId="24" xfId="0" applyFont="1" applyFill="1" applyBorder="1" applyAlignment="1" applyProtection="1">
      <alignment horizontal="left" vertical="center" wrapText="1"/>
      <protection locked="0"/>
    </xf>
    <xf numFmtId="0" fontId="58" fillId="0" borderId="26" xfId="0" applyNumberFormat="1" applyFont="1" applyFill="1" applyBorder="1" applyAlignment="1">
      <alignment horizontal="center" vertical="center"/>
    </xf>
    <xf numFmtId="0" fontId="58" fillId="0" borderId="3" xfId="0" applyNumberFormat="1" applyFont="1" applyFill="1" applyBorder="1" applyAlignment="1">
      <alignment horizontal="center" vertical="center"/>
    </xf>
    <xf numFmtId="0" fontId="60" fillId="40" borderId="3" xfId="0" applyFont="1" applyFill="1" applyBorder="1" applyAlignment="1">
      <alignment horizontal="left" vertical="center" wrapText="1"/>
    </xf>
    <xf numFmtId="0" fontId="58" fillId="0" borderId="28" xfId="336" applyFont="1" applyFill="1" applyBorder="1" applyAlignment="1">
      <alignment horizontal="left" wrapText="1"/>
      <protection/>
    </xf>
    <xf numFmtId="0" fontId="60" fillId="0" borderId="28" xfId="336" applyFont="1" applyFill="1" applyBorder="1" applyAlignment="1">
      <alignment horizontal="left" wrapText="1"/>
      <protection/>
    </xf>
    <xf numFmtId="4" fontId="61" fillId="40" borderId="3" xfId="0" applyNumberFormat="1" applyFont="1" applyFill="1" applyBorder="1" applyAlignment="1">
      <alignment horizontal="center" vertical="center" wrapText="1"/>
    </xf>
    <xf numFmtId="175" fontId="61" fillId="40" borderId="3" xfId="0" applyNumberFormat="1" applyFont="1" applyFill="1" applyBorder="1" applyAlignment="1">
      <alignment horizontal="center" vertical="center" wrapText="1"/>
    </xf>
    <xf numFmtId="0" fontId="58" fillId="0" borderId="29" xfId="296" applyFont="1" applyFill="1" applyBorder="1" applyAlignment="1">
      <alignment horizontal="left" vertical="center" wrapText="1"/>
      <protection/>
    </xf>
    <xf numFmtId="0" fontId="58" fillId="0" borderId="29" xfId="0" applyNumberFormat="1" applyFont="1" applyFill="1" applyBorder="1" applyAlignment="1">
      <alignment horizontal="center" vertical="center"/>
    </xf>
    <xf numFmtId="175" fontId="59" fillId="40" borderId="29" xfId="0" applyNumberFormat="1" applyFont="1" applyFill="1" applyBorder="1" applyAlignment="1">
      <alignment horizontal="center" vertical="center" wrapText="1"/>
    </xf>
    <xf numFmtId="175" fontId="61" fillId="40" borderId="29" xfId="0" applyNumberFormat="1" applyFont="1" applyFill="1" applyBorder="1" applyAlignment="1">
      <alignment horizontal="center" vertical="center" wrapText="1"/>
    </xf>
    <xf numFmtId="175" fontId="60" fillId="40" borderId="29" xfId="0" applyNumberFormat="1" applyFont="1" applyFill="1" applyBorder="1" applyAlignment="1">
      <alignment horizontal="center" vertical="center" wrapText="1"/>
    </xf>
    <xf numFmtId="0" fontId="58" fillId="0" borderId="26" xfId="0" applyFont="1" applyFill="1" applyBorder="1" applyAlignment="1" applyProtection="1">
      <alignment horizontal="left" vertical="center" wrapText="1"/>
      <protection locked="0"/>
    </xf>
    <xf numFmtId="2" fontId="67" fillId="40" borderId="26" xfId="0" applyNumberFormat="1" applyFont="1" applyFill="1" applyBorder="1" applyAlignment="1">
      <alignment horizontal="center" vertical="center" wrapText="1"/>
    </xf>
    <xf numFmtId="175" fontId="70" fillId="40" borderId="26" xfId="0" applyNumberFormat="1" applyFont="1" applyFill="1" applyBorder="1" applyAlignment="1">
      <alignment horizontal="center" vertical="center" wrapText="1"/>
    </xf>
    <xf numFmtId="175" fontId="60" fillId="4" borderId="26" xfId="0" applyNumberFormat="1" applyFont="1" applyFill="1" applyBorder="1" applyAlignment="1">
      <alignment horizontal="center" vertical="center" wrapText="1"/>
    </xf>
    <xf numFmtId="175" fontId="70" fillId="40" borderId="3" xfId="0" applyNumberFormat="1" applyFont="1" applyFill="1" applyBorder="1" applyAlignment="1">
      <alignment horizontal="center" vertical="center" wrapText="1"/>
    </xf>
    <xf numFmtId="175" fontId="60" fillId="4" borderId="3" xfId="0" applyNumberFormat="1" applyFont="1" applyFill="1" applyBorder="1" applyAlignment="1">
      <alignment horizontal="center" vertical="center" wrapText="1"/>
    </xf>
    <xf numFmtId="0" fontId="58" fillId="0" borderId="24" xfId="0" applyFont="1" applyFill="1" applyBorder="1" applyAlignment="1" applyProtection="1">
      <alignment horizontal="left" vertical="center" wrapText="1"/>
      <protection locked="0"/>
    </xf>
    <xf numFmtId="175" fontId="59" fillId="40" borderId="24" xfId="0" applyNumberFormat="1" applyFont="1" applyFill="1" applyBorder="1" applyAlignment="1">
      <alignment horizontal="center" vertical="center" wrapText="1"/>
    </xf>
    <xf numFmtId="175" fontId="70" fillId="40" borderId="24" xfId="0" applyNumberFormat="1" applyFont="1" applyFill="1" applyBorder="1" applyAlignment="1">
      <alignment horizontal="center" vertical="center" wrapText="1"/>
    </xf>
    <xf numFmtId="175" fontId="60" fillId="40" borderId="24" xfId="0" applyNumberFormat="1" applyFont="1" applyFill="1" applyBorder="1" applyAlignment="1">
      <alignment horizontal="center" vertical="center" wrapText="1"/>
    </xf>
    <xf numFmtId="175" fontId="60" fillId="4" borderId="24" xfId="0" applyNumberFormat="1" applyFont="1" applyFill="1" applyBorder="1" applyAlignment="1">
      <alignment horizontal="center" vertical="center" wrapText="1"/>
    </xf>
    <xf numFmtId="175" fontId="61" fillId="40" borderId="24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 applyProtection="1">
      <alignment horizontal="left" vertical="center" wrapText="1"/>
      <protection locked="0"/>
    </xf>
    <xf numFmtId="0" fontId="58" fillId="0" borderId="29" xfId="0" applyFont="1" applyFill="1" applyBorder="1" applyAlignment="1">
      <alignment horizontal="center" vertical="center"/>
    </xf>
    <xf numFmtId="175" fontId="70" fillId="40" borderId="29" xfId="0" applyNumberFormat="1" applyFont="1" applyFill="1" applyBorder="1" applyAlignment="1">
      <alignment horizontal="center" vertical="center" wrapText="1"/>
    </xf>
    <xf numFmtId="175" fontId="60" fillId="4" borderId="29" xfId="0" applyNumberFormat="1" applyFont="1" applyFill="1" applyBorder="1" applyAlignment="1">
      <alignment horizontal="center" vertical="center" wrapText="1"/>
    </xf>
    <xf numFmtId="49" fontId="58" fillId="0" borderId="26" xfId="0" applyNumberFormat="1" applyFont="1" applyFill="1" applyBorder="1" applyAlignment="1">
      <alignment horizontal="center" vertical="center"/>
    </xf>
    <xf numFmtId="175" fontId="65" fillId="6" borderId="26" xfId="0" applyNumberFormat="1" applyFont="1" applyFill="1" applyBorder="1" applyAlignment="1">
      <alignment horizontal="center" vertical="center" wrapText="1"/>
    </xf>
    <xf numFmtId="175" fontId="66" fillId="6" borderId="26" xfId="0" applyNumberFormat="1" applyFont="1" applyFill="1" applyBorder="1" applyAlignment="1">
      <alignment horizontal="center" vertical="center" wrapText="1"/>
    </xf>
    <xf numFmtId="175" fontId="67" fillId="6" borderId="26" xfId="0" applyNumberFormat="1" applyFont="1" applyFill="1" applyBorder="1" applyAlignment="1">
      <alignment horizontal="center" vertical="center" wrapText="1"/>
    </xf>
    <xf numFmtId="175" fontId="66" fillId="0" borderId="26" xfId="0" applyNumberFormat="1" applyFont="1" applyFill="1" applyBorder="1" applyAlignment="1">
      <alignment horizontal="center" vertical="center" wrapText="1"/>
    </xf>
    <xf numFmtId="175" fontId="60" fillId="0" borderId="26" xfId="0" applyNumberFormat="1" applyFont="1" applyFill="1" applyBorder="1" applyAlignment="1">
      <alignment horizontal="center" vertical="center" wrapText="1"/>
    </xf>
    <xf numFmtId="49" fontId="58" fillId="0" borderId="3" xfId="0" applyNumberFormat="1" applyFont="1" applyFill="1" applyBorder="1" applyAlignment="1">
      <alignment horizontal="center" vertical="center"/>
    </xf>
    <xf numFmtId="175" fontId="59" fillId="3" borderId="3" xfId="0" applyNumberFormat="1" applyFont="1" applyFill="1" applyBorder="1" applyAlignment="1">
      <alignment horizontal="center" vertical="center" wrapText="1"/>
    </xf>
    <xf numFmtId="175" fontId="60" fillId="3" borderId="3" xfId="0" applyNumberFormat="1" applyFont="1" applyFill="1" applyBorder="1" applyAlignment="1">
      <alignment horizontal="center" vertical="center" wrapText="1"/>
    </xf>
    <xf numFmtId="175" fontId="61" fillId="0" borderId="26" xfId="0" applyNumberFormat="1" applyFont="1" applyFill="1" applyBorder="1" applyAlignment="1">
      <alignment horizontal="center" vertical="center" wrapText="1"/>
    </xf>
    <xf numFmtId="175" fontId="60" fillId="0" borderId="3" xfId="0" applyNumberFormat="1" applyFont="1" applyFill="1" applyBorder="1" applyAlignment="1">
      <alignment horizontal="center" vertical="center" wrapText="1"/>
    </xf>
    <xf numFmtId="175" fontId="65" fillId="6" borderId="3" xfId="0" applyNumberFormat="1" applyFont="1" applyFill="1" applyBorder="1" applyAlignment="1">
      <alignment horizontal="center" vertical="center" wrapText="1"/>
    </xf>
    <xf numFmtId="175" fontId="66" fillId="6" borderId="3" xfId="0" applyNumberFormat="1" applyFont="1" applyFill="1" applyBorder="1" applyAlignment="1">
      <alignment horizontal="center" vertical="center" wrapText="1"/>
    </xf>
    <xf numFmtId="175" fontId="67" fillId="6" borderId="3" xfId="0" applyNumberFormat="1" applyFont="1" applyFill="1" applyBorder="1" applyAlignment="1">
      <alignment horizontal="center" vertical="center" wrapText="1"/>
    </xf>
    <xf numFmtId="175" fontId="66" fillId="0" borderId="3" xfId="0" applyNumberFormat="1" applyFont="1" applyFill="1" applyBorder="1" applyAlignment="1">
      <alignment horizontal="center" vertical="center" wrapText="1"/>
    </xf>
    <xf numFmtId="49" fontId="58" fillId="0" borderId="24" xfId="0" applyNumberFormat="1" applyFont="1" applyFill="1" applyBorder="1" applyAlignment="1">
      <alignment horizontal="center" vertical="center"/>
    </xf>
    <xf numFmtId="0" fontId="64" fillId="40" borderId="3" xfId="0" applyFont="1" applyFill="1" applyBorder="1" applyAlignment="1" applyProtection="1">
      <alignment horizontal="left" vertical="center" wrapText="1"/>
      <protection locked="0"/>
    </xf>
    <xf numFmtId="49" fontId="58" fillId="40" borderId="3" xfId="0" applyNumberFormat="1" applyFont="1" applyFill="1" applyBorder="1" applyAlignment="1">
      <alignment horizontal="center" vertical="center"/>
    </xf>
    <xf numFmtId="3" fontId="65" fillId="40" borderId="3" xfId="0" applyNumberFormat="1" applyFont="1" applyFill="1" applyBorder="1" applyAlignment="1">
      <alignment horizontal="center" vertical="center" wrapText="1"/>
    </xf>
    <xf numFmtId="3" fontId="66" fillId="40" borderId="3" xfId="0" applyNumberFormat="1" applyFont="1" applyFill="1" applyBorder="1" applyAlignment="1">
      <alignment horizontal="center" vertical="center" wrapText="1"/>
    </xf>
    <xf numFmtId="3" fontId="67" fillId="40" borderId="3" xfId="0" applyNumberFormat="1" applyFont="1" applyFill="1" applyBorder="1" applyAlignment="1">
      <alignment horizontal="right" vertical="center" wrapText="1"/>
    </xf>
    <xf numFmtId="3" fontId="60" fillId="40" borderId="26" xfId="0" applyNumberFormat="1" applyFont="1" applyFill="1" applyBorder="1" applyAlignment="1">
      <alignment horizontal="center" vertical="center" wrapText="1"/>
    </xf>
    <xf numFmtId="3" fontId="59" fillId="40" borderId="3" xfId="0" applyNumberFormat="1" applyFont="1" applyFill="1" applyBorder="1" applyAlignment="1">
      <alignment horizontal="center" vertical="center" wrapText="1"/>
    </xf>
    <xf numFmtId="3" fontId="60" fillId="40" borderId="3" xfId="0" applyNumberFormat="1" applyFont="1" applyFill="1" applyBorder="1" applyAlignment="1">
      <alignment horizontal="center" vertical="center" wrapText="1"/>
    </xf>
    <xf numFmtId="3" fontId="61" fillId="40" borderId="3" xfId="0" applyNumberFormat="1" applyFont="1" applyFill="1" applyBorder="1" applyAlignment="1">
      <alignment horizontal="right" vertical="center" wrapText="1"/>
    </xf>
    <xf numFmtId="175" fontId="67" fillId="40" borderId="3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175" fontId="61" fillId="40" borderId="26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 horizontal="center" vertical="center"/>
    </xf>
    <xf numFmtId="167" fontId="59" fillId="0" borderId="0" xfId="0" applyNumberFormat="1" applyFont="1" applyFill="1" applyBorder="1" applyAlignment="1">
      <alignment horizontal="center" vertical="center" wrapText="1"/>
    </xf>
    <xf numFmtId="167" fontId="60" fillId="40" borderId="0" xfId="0" applyNumberFormat="1" applyFont="1" applyFill="1" applyBorder="1" applyAlignment="1">
      <alignment horizontal="center" vertical="center" wrapText="1"/>
    </xf>
    <xf numFmtId="167" fontId="60" fillId="0" borderId="0" xfId="0" applyNumberFormat="1" applyFont="1" applyFill="1" applyBorder="1" applyAlignment="1">
      <alignment horizontal="center" vertical="center" wrapText="1"/>
    </xf>
    <xf numFmtId="167" fontId="72" fillId="0" borderId="0" xfId="0" applyNumberFormat="1" applyFont="1" applyFill="1" applyBorder="1" applyAlignment="1">
      <alignment horizontal="center" vertical="center" wrapText="1"/>
    </xf>
    <xf numFmtId="167" fontId="73" fillId="0" borderId="0" xfId="0" applyNumberFormat="1" applyFont="1" applyFill="1" applyBorder="1" applyAlignment="1">
      <alignment horizontal="center" vertical="center" wrapText="1"/>
    </xf>
    <xf numFmtId="175" fontId="73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4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right" vertical="center"/>
    </xf>
    <xf numFmtId="0" fontId="75" fillId="40" borderId="0" xfId="0" applyFont="1" applyFill="1" applyBorder="1" applyAlignment="1">
      <alignment horizontal="center" vertical="center"/>
    </xf>
    <xf numFmtId="0" fontId="75" fillId="40" borderId="0" xfId="0" applyFont="1" applyFill="1" applyBorder="1" applyAlignment="1">
      <alignment vertical="center"/>
    </xf>
    <xf numFmtId="0" fontId="76" fillId="4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vertical="center"/>
    </xf>
    <xf numFmtId="0" fontId="0" fillId="40" borderId="0" xfId="0" applyFill="1" applyAlignment="1">
      <alignment vertical="center"/>
    </xf>
    <xf numFmtId="0" fontId="75" fillId="0" borderId="0" xfId="0" applyFont="1" applyFill="1" applyBorder="1" applyAlignment="1">
      <alignment horizontal="center" vertical="center"/>
    </xf>
    <xf numFmtId="0" fontId="75" fillId="40" borderId="0" xfId="0" applyFont="1" applyFill="1" applyBorder="1" applyAlignment="1">
      <alignment horizontal="right" vertical="center"/>
    </xf>
    <xf numFmtId="0" fontId="75" fillId="40" borderId="0" xfId="0" applyFont="1" applyFill="1" applyAlignment="1">
      <alignment horizontal="center" vertical="center"/>
    </xf>
    <xf numFmtId="0" fontId="75" fillId="40" borderId="0" xfId="0" applyFont="1" applyFill="1" applyAlignment="1">
      <alignment horizontal="left" vertical="center"/>
    </xf>
    <xf numFmtId="0" fontId="75" fillId="40" borderId="30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horizontal="left" vertical="center"/>
    </xf>
    <xf numFmtId="0" fontId="54" fillId="0" borderId="30" xfId="0" applyFont="1" applyFill="1" applyBorder="1" applyAlignment="1">
      <alignment vertical="center"/>
    </xf>
    <xf numFmtId="0" fontId="76" fillId="40" borderId="0" xfId="0" applyFont="1" applyFill="1" applyBorder="1" applyAlignment="1">
      <alignment horizontal="center" vertical="center"/>
    </xf>
    <xf numFmtId="0" fontId="75" fillId="4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75" fillId="0" borderId="21" xfId="0" applyFont="1" applyFill="1" applyBorder="1" applyAlignment="1">
      <alignment vertical="center"/>
    </xf>
    <xf numFmtId="0" fontId="75" fillId="40" borderId="22" xfId="0" applyFont="1" applyFill="1" applyBorder="1" applyAlignment="1">
      <alignment vertical="center"/>
    </xf>
    <xf numFmtId="0" fontId="75" fillId="40" borderId="23" xfId="0" applyFont="1" applyFill="1" applyBorder="1" applyAlignment="1">
      <alignment vertical="center"/>
    </xf>
    <xf numFmtId="0" fontId="75" fillId="40" borderId="3" xfId="0" applyFont="1" applyFill="1" applyBorder="1" applyAlignment="1">
      <alignment horizontal="left" vertical="center"/>
    </xf>
    <xf numFmtId="0" fontId="75" fillId="40" borderId="3" xfId="0" applyFont="1" applyFill="1" applyBorder="1" applyAlignment="1">
      <alignment horizontal="center" vertical="center"/>
    </xf>
    <xf numFmtId="0" fontId="75" fillId="0" borderId="21" xfId="0" applyFont="1" applyFill="1" applyBorder="1" applyAlignment="1">
      <alignment horizontal="left" vertical="center" wrapText="1"/>
    </xf>
    <xf numFmtId="0" fontId="75" fillId="40" borderId="22" xfId="0" applyFont="1" applyFill="1" applyBorder="1" applyAlignment="1">
      <alignment vertical="center" wrapText="1"/>
    </xf>
    <xf numFmtId="0" fontId="75" fillId="40" borderId="23" xfId="0" applyFont="1" applyFill="1" applyBorder="1" applyAlignment="1">
      <alignment vertical="center" wrapText="1"/>
    </xf>
    <xf numFmtId="0" fontId="75" fillId="40" borderId="3" xfId="0" applyFont="1" applyFill="1" applyBorder="1" applyAlignment="1">
      <alignment vertical="center"/>
    </xf>
    <xf numFmtId="0" fontId="75" fillId="40" borderId="31" xfId="0" applyFont="1" applyFill="1" applyBorder="1" applyAlignment="1">
      <alignment vertical="center" wrapText="1"/>
    </xf>
    <xf numFmtId="0" fontId="75" fillId="40" borderId="24" xfId="0" applyFont="1" applyFill="1" applyBorder="1" applyAlignment="1">
      <alignment vertical="center"/>
    </xf>
    <xf numFmtId="0" fontId="75" fillId="40" borderId="3" xfId="0" applyFont="1" applyFill="1" applyBorder="1" applyAlignment="1">
      <alignment vertical="center" wrapText="1"/>
    </xf>
    <xf numFmtId="0" fontId="54" fillId="0" borderId="0" xfId="0" applyFont="1" applyFill="1" applyAlignment="1">
      <alignment horizontal="left" vertical="center"/>
    </xf>
    <xf numFmtId="0" fontId="54" fillId="40" borderId="0" xfId="0" applyFont="1" applyFill="1" applyAlignment="1">
      <alignment horizontal="center" vertical="center"/>
    </xf>
    <xf numFmtId="0" fontId="54" fillId="40" borderId="0" xfId="0" applyFont="1" applyFill="1" applyAlignment="1">
      <alignment horizontal="left" vertical="center"/>
    </xf>
    <xf numFmtId="0" fontId="63" fillId="0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 wrapText="1"/>
    </xf>
    <xf numFmtId="0" fontId="63" fillId="40" borderId="3" xfId="0" applyFont="1" applyFill="1" applyBorder="1" applyAlignment="1">
      <alignment horizontal="center" vertical="center" wrapText="1"/>
    </xf>
    <xf numFmtId="0" fontId="63" fillId="40" borderId="3" xfId="0" applyFont="1" applyFill="1" applyBorder="1" applyAlignment="1">
      <alignment horizontal="center" vertical="center" wrapText="1" shrinkToFit="1"/>
    </xf>
    <xf numFmtId="0" fontId="54" fillId="0" borderId="3" xfId="214" applyNumberFormat="1" applyFont="1" applyFill="1" applyBorder="1" applyAlignment="1">
      <alignment vertical="center" wrapText="1"/>
      <protection locked="0"/>
    </xf>
    <xf numFmtId="0" fontId="54" fillId="0" borderId="3" xfId="0" applyFont="1" applyFill="1" applyBorder="1" applyAlignment="1">
      <alignment horizontal="center" vertical="center"/>
    </xf>
    <xf numFmtId="176" fontId="54" fillId="40" borderId="3" xfId="0" applyNumberFormat="1" applyFont="1" applyFill="1" applyBorder="1" applyAlignment="1">
      <alignment horizontal="center" vertical="center" wrapText="1"/>
    </xf>
    <xf numFmtId="0" fontId="68" fillId="0" borderId="3" xfId="214" applyNumberFormat="1" applyFont="1" applyFill="1" applyBorder="1" applyAlignment="1">
      <alignment vertical="center" wrapText="1"/>
      <protection locked="0"/>
    </xf>
    <xf numFmtId="176" fontId="68" fillId="40" borderId="3" xfId="0" applyNumberFormat="1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68" fillId="0" borderId="3" xfId="0" applyFont="1" applyFill="1" applyBorder="1" applyAlignment="1" applyProtection="1">
      <alignment vertical="center" wrapText="1"/>
      <protection locked="0"/>
    </xf>
    <xf numFmtId="0" fontId="54" fillId="0" borderId="3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 applyProtection="1">
      <alignment horizontal="left" vertical="center" wrapText="1"/>
      <protection locked="0"/>
    </xf>
    <xf numFmtId="0" fontId="54" fillId="4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4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left" vertical="center" wrapText="1"/>
    </xf>
    <xf numFmtId="0" fontId="54" fillId="40" borderId="3" xfId="296" applyFont="1" applyFill="1" applyBorder="1" applyAlignment="1">
      <alignment horizontal="left" vertical="center" wrapText="1"/>
      <protection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296" applyFont="1" applyFill="1" applyBorder="1" applyAlignment="1">
      <alignment horizontal="center" vertical="center"/>
      <protection/>
    </xf>
    <xf numFmtId="0" fontId="54" fillId="40" borderId="3" xfId="0" applyFont="1" applyFill="1" applyBorder="1" applyAlignment="1" applyProtection="1">
      <alignment horizontal="left" vertical="center" wrapText="1"/>
      <protection locked="0"/>
    </xf>
    <xf numFmtId="0" fontId="68" fillId="40" borderId="3" xfId="0" applyFont="1" applyFill="1" applyBorder="1" applyAlignment="1" applyProtection="1">
      <alignment horizontal="left" vertical="center" wrapText="1"/>
      <protection locked="0"/>
    </xf>
    <xf numFmtId="175" fontId="68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175" fontId="54" fillId="40" borderId="3" xfId="0" applyNumberFormat="1" applyFont="1" applyFill="1" applyBorder="1" applyAlignment="1">
      <alignment horizontal="center" vertical="center" wrapText="1"/>
    </xf>
    <xf numFmtId="0" fontId="68" fillId="0" borderId="26" xfId="0" applyFont="1" applyFill="1" applyBorder="1" applyAlignment="1" applyProtection="1">
      <alignment horizontal="left" vertical="center" wrapText="1"/>
      <protection locked="0"/>
    </xf>
    <xf numFmtId="176" fontId="80" fillId="40" borderId="3" xfId="0" applyNumberFormat="1" applyFont="1" applyFill="1" applyBorder="1" applyAlignment="1">
      <alignment horizontal="center" vertical="center" wrapText="1"/>
    </xf>
    <xf numFmtId="176" fontId="81" fillId="40" borderId="3" xfId="0" applyNumberFormat="1" applyFont="1" applyFill="1" applyBorder="1" applyAlignment="1">
      <alignment horizontal="center" vertical="center" wrapText="1"/>
    </xf>
    <xf numFmtId="0" fontId="68" fillId="0" borderId="24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>
      <alignment horizontal="center" vertical="center"/>
    </xf>
    <xf numFmtId="176" fontId="54" fillId="40" borderId="3" xfId="288" applyNumberFormat="1" applyFont="1" applyFill="1" applyBorder="1" applyAlignment="1">
      <alignment horizontal="center" vertical="center" wrapText="1"/>
      <protection/>
    </xf>
    <xf numFmtId="176" fontId="56" fillId="40" borderId="3" xfId="0" applyNumberFormat="1" applyFont="1" applyFill="1" applyBorder="1" applyAlignment="1">
      <alignment horizontal="center" vertical="center" wrapText="1"/>
    </xf>
    <xf numFmtId="49" fontId="54" fillId="0" borderId="26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0" fontId="54" fillId="0" borderId="24" xfId="0" applyFont="1" applyFill="1" applyBorder="1" applyAlignment="1" applyProtection="1">
      <alignment horizontal="left" vertical="center" wrapText="1"/>
      <protection locked="0"/>
    </xf>
    <xf numFmtId="49" fontId="54" fillId="0" borderId="24" xfId="0" applyNumberFormat="1" applyFont="1" applyFill="1" applyBorder="1" applyAlignment="1">
      <alignment horizontal="center" vertical="center"/>
    </xf>
    <xf numFmtId="167" fontId="68" fillId="40" borderId="3" xfId="0" applyNumberFormat="1" applyFont="1" applyFill="1" applyBorder="1" applyAlignment="1">
      <alignment horizontal="center" vertical="center" wrapText="1"/>
    </xf>
    <xf numFmtId="167" fontId="68" fillId="40" borderId="3" xfId="0" applyNumberFormat="1" applyFont="1" applyFill="1" applyBorder="1" applyAlignment="1">
      <alignment vertical="center" wrapText="1"/>
    </xf>
    <xf numFmtId="167" fontId="54" fillId="40" borderId="3" xfId="0" applyNumberFormat="1" applyFont="1" applyFill="1" applyBorder="1" applyAlignment="1">
      <alignment horizontal="center" vertical="center" wrapText="1"/>
    </xf>
    <xf numFmtId="0" fontId="54" fillId="40" borderId="3" xfId="0" applyNumberFormat="1" applyFont="1" applyFill="1" applyBorder="1" applyAlignment="1">
      <alignment vertical="center" wrapText="1"/>
    </xf>
    <xf numFmtId="3" fontId="54" fillId="40" borderId="3" xfId="0" applyNumberFormat="1" applyFont="1" applyFill="1" applyBorder="1" applyAlignment="1">
      <alignment horizontal="center" vertical="center" wrapText="1"/>
    </xf>
    <xf numFmtId="1" fontId="54" fillId="40" borderId="3" xfId="0" applyNumberFormat="1" applyFont="1" applyFill="1" applyBorder="1" applyAlignment="1">
      <alignment horizontal="center" vertical="center" wrapText="1"/>
    </xf>
    <xf numFmtId="167" fontId="54" fillId="40" borderId="3" xfId="0" applyNumberFormat="1" applyFont="1" applyFill="1" applyBorder="1" applyAlignment="1">
      <alignment vertical="center" wrapText="1"/>
    </xf>
    <xf numFmtId="0" fontId="54" fillId="0" borderId="27" xfId="0" applyFont="1" applyFill="1" applyBorder="1" applyAlignment="1">
      <alignment horizontal="left" vertical="center" wrapText="1"/>
    </xf>
    <xf numFmtId="49" fontId="54" fillId="0" borderId="32" xfId="0" applyNumberFormat="1" applyFont="1" applyFill="1" applyBorder="1" applyAlignment="1">
      <alignment horizontal="center" vertical="center"/>
    </xf>
    <xf numFmtId="167" fontId="54" fillId="40" borderId="33" xfId="0" applyNumberFormat="1" applyFont="1" applyFill="1" applyBorder="1" applyAlignment="1">
      <alignment horizontal="center" vertical="center" wrapText="1"/>
    </xf>
    <xf numFmtId="3" fontId="54" fillId="40" borderId="33" xfId="0" applyNumberFormat="1" applyFont="1" applyFill="1" applyBorder="1" applyAlignment="1">
      <alignment horizontal="center" vertical="center" wrapText="1"/>
    </xf>
    <xf numFmtId="1" fontId="54" fillId="40" borderId="33" xfId="0" applyNumberFormat="1" applyFont="1" applyFill="1" applyBorder="1" applyAlignment="1">
      <alignment horizontal="center" vertical="center" wrapText="1"/>
    </xf>
    <xf numFmtId="1" fontId="54" fillId="40" borderId="34" xfId="0" applyNumberFormat="1" applyFont="1" applyFill="1" applyBorder="1" applyAlignment="1">
      <alignment horizontal="center" vertical="center" wrapText="1"/>
    </xf>
    <xf numFmtId="177" fontId="68" fillId="40" borderId="3" xfId="0" applyNumberFormat="1" applyFont="1" applyFill="1" applyBorder="1" applyAlignment="1">
      <alignment horizontal="center" vertical="center" wrapText="1"/>
    </xf>
    <xf numFmtId="177" fontId="54" fillId="40" borderId="3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 applyProtection="1">
      <alignment horizontal="left" vertical="center"/>
      <protection locked="0"/>
    </xf>
    <xf numFmtId="175" fontId="68" fillId="40" borderId="0" xfId="0" applyNumberFormat="1" applyFont="1" applyFill="1" applyBorder="1" applyAlignment="1">
      <alignment horizontal="center" vertical="center" wrapText="1"/>
    </xf>
    <xf numFmtId="175" fontId="68" fillId="40" borderId="0" xfId="0" applyNumberFormat="1" applyFont="1" applyFill="1" applyBorder="1" applyAlignment="1">
      <alignment horizontal="right" vertical="center" wrapText="1"/>
    </xf>
    <xf numFmtId="175" fontId="54" fillId="4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175" fontId="54" fillId="40" borderId="30" xfId="0" applyNumberFormat="1" applyFont="1" applyFill="1" applyBorder="1" applyAlignment="1">
      <alignment horizontal="center" vertical="center" wrapText="1"/>
    </xf>
    <xf numFmtId="175" fontId="78" fillId="40" borderId="0" xfId="0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/>
    </xf>
    <xf numFmtId="0" fontId="75" fillId="0" borderId="30" xfId="0" applyFont="1" applyFill="1" applyBorder="1" applyAlignment="1">
      <alignment vertical="center"/>
    </xf>
    <xf numFmtId="0" fontId="75" fillId="0" borderId="3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8" fillId="40" borderId="0" xfId="0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/>
    </xf>
    <xf numFmtId="175" fontId="54" fillId="40" borderId="3" xfId="0" applyNumberFormat="1" applyFont="1" applyFill="1" applyBorder="1" applyAlignment="1">
      <alignment horizontal="center" vertical="center" wrapText="1"/>
    </xf>
    <xf numFmtId="49" fontId="68" fillId="0" borderId="3" xfId="0" applyNumberFormat="1" applyFont="1" applyFill="1" applyBorder="1" applyAlignment="1">
      <alignment horizontal="left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0" fontId="68" fillId="0" borderId="3" xfId="0" applyFont="1" applyFill="1" applyBorder="1" applyAlignment="1">
      <alignment horizontal="center" vertical="center"/>
    </xf>
    <xf numFmtId="175" fontId="68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left" vertical="top" wrapText="1"/>
    </xf>
    <xf numFmtId="0" fontId="54" fillId="40" borderId="3" xfId="0" applyFont="1" applyFill="1" applyBorder="1" applyAlignment="1">
      <alignment horizontal="left" vertical="center" wrapText="1"/>
    </xf>
    <xf numFmtId="0" fontId="54" fillId="40" borderId="3" xfId="0" applyFont="1" applyFill="1" applyBorder="1" applyAlignment="1">
      <alignment horizontal="center" vertical="center"/>
    </xf>
    <xf numFmtId="0" fontId="54" fillId="40" borderId="3" xfId="0" applyFont="1" applyFill="1" applyBorder="1" applyAlignment="1">
      <alignment horizontal="left" vertical="top" wrapText="1"/>
    </xf>
    <xf numFmtId="0" fontId="54" fillId="0" borderId="3" xfId="0" applyFont="1" applyFill="1" applyBorder="1" applyAlignment="1">
      <alignment horizontal="left" vertical="center" wrapText="1" shrinkToFit="1"/>
    </xf>
    <xf numFmtId="175" fontId="69" fillId="40" borderId="3" xfId="0" applyNumberFormat="1" applyFont="1" applyFill="1" applyBorder="1" applyAlignment="1">
      <alignment horizontal="center" vertical="center" wrapText="1"/>
    </xf>
    <xf numFmtId="3" fontId="69" fillId="40" borderId="3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68" fillId="0" borderId="3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/>
    </xf>
    <xf numFmtId="178" fontId="68" fillId="40" borderId="0" xfId="0" applyNumberFormat="1" applyFont="1" applyFill="1" applyBorder="1" applyAlignment="1">
      <alignment horizontal="center" vertical="center" wrapText="1"/>
    </xf>
    <xf numFmtId="49" fontId="68" fillId="0" borderId="0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/>
    </xf>
    <xf numFmtId="175" fontId="54" fillId="40" borderId="0" xfId="0" applyNumberFormat="1" applyFont="1" applyFill="1" applyBorder="1" applyAlignment="1">
      <alignment horizontal="center" vertical="center" wrapText="1"/>
    </xf>
    <xf numFmtId="175" fontId="54" fillId="40" borderId="0" xfId="0" applyNumberFormat="1" applyFont="1" applyFill="1" applyBorder="1" applyAlignment="1">
      <alignment horizontal="right" vertical="center" wrapText="1"/>
    </xf>
    <xf numFmtId="175" fontId="78" fillId="40" borderId="0" xfId="0" applyNumberFormat="1" applyFont="1" applyFill="1" applyBorder="1" applyAlignment="1">
      <alignment vertical="center"/>
    </xf>
    <xf numFmtId="0" fontId="54" fillId="4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40" borderId="0" xfId="0" applyFont="1" applyFill="1" applyAlignment="1">
      <alignment horizontal="left" vertical="center"/>
    </xf>
    <xf numFmtId="0" fontId="54" fillId="4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68" fillId="40" borderId="3" xfId="0" applyFont="1" applyFill="1" applyBorder="1" applyAlignment="1">
      <alignment horizontal="left" vertical="center" wrapText="1"/>
    </xf>
    <xf numFmtId="0" fontId="54" fillId="4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4" fontId="54" fillId="0" borderId="3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0" fontId="64" fillId="4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40" borderId="0" xfId="0" applyFont="1" applyFill="1" applyAlignment="1">
      <alignment vertical="center" wrapText="1"/>
    </xf>
    <xf numFmtId="0" fontId="58" fillId="0" borderId="0" xfId="0" applyFont="1" applyFill="1" applyBorder="1" applyAlignment="1">
      <alignment/>
    </xf>
    <xf numFmtId="0" fontId="58" fillId="40" borderId="0" xfId="0" applyFont="1" applyFill="1" applyBorder="1" applyAlignment="1">
      <alignment horizontal="left" vertical="center" wrapText="1" shrinkToFit="1"/>
    </xf>
    <xf numFmtId="0" fontId="60" fillId="4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0" fontId="58" fillId="0" borderId="22" xfId="0" applyFont="1" applyFill="1" applyBorder="1" applyAlignment="1">
      <alignment horizontal="left" vertical="center" wrapText="1"/>
    </xf>
    <xf numFmtId="0" fontId="58" fillId="40" borderId="22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4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/>
    </xf>
    <xf numFmtId="0" fontId="58" fillId="0" borderId="3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top" wrapText="1"/>
    </xf>
    <xf numFmtId="0" fontId="61" fillId="0" borderId="3" xfId="296" applyFont="1" applyFill="1" applyBorder="1" applyAlignment="1">
      <alignment horizontal="center" vertical="top"/>
      <protection/>
    </xf>
    <xf numFmtId="0" fontId="64" fillId="0" borderId="25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left" vertical="center" wrapText="1"/>
    </xf>
    <xf numFmtId="0" fontId="64" fillId="0" borderId="3" xfId="0" applyFont="1" applyFill="1" applyBorder="1" applyAlignment="1">
      <alignment horizontal="left" vertical="center" wrapText="1"/>
    </xf>
    <xf numFmtId="0" fontId="66" fillId="40" borderId="27" xfId="0" applyFont="1" applyFill="1" applyBorder="1" applyAlignment="1">
      <alignment horizontal="center" vertical="center" wrapText="1"/>
    </xf>
    <xf numFmtId="0" fontId="64" fillId="0" borderId="25" xfId="0" applyFont="1" applyFill="1" applyBorder="1" applyAlignment="1" applyProtection="1">
      <alignment horizontal="center" vertical="center" wrapText="1"/>
      <protection locked="0"/>
    </xf>
    <xf numFmtId="0" fontId="64" fillId="0" borderId="36" xfId="288" applyNumberFormat="1" applyFont="1" applyFill="1" applyBorder="1" applyAlignment="1">
      <alignment horizontal="center" vertical="center" wrapText="1"/>
      <protection/>
    </xf>
    <xf numFmtId="175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74" fillId="40" borderId="0" xfId="0" applyFont="1" applyFill="1" applyBorder="1" applyAlignment="1">
      <alignment horizontal="right" vertical="center"/>
    </xf>
    <xf numFmtId="0" fontId="74" fillId="40" borderId="0" xfId="0" applyFont="1" applyFill="1" applyBorder="1" applyAlignment="1">
      <alignment horizontal="left" vertical="center" wrapText="1"/>
    </xf>
    <xf numFmtId="0" fontId="54" fillId="4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vertical="center"/>
    </xf>
    <xf numFmtId="0" fontId="54" fillId="4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/>
    </xf>
    <xf numFmtId="0" fontId="75" fillId="40" borderId="37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left" vertical="center" wrapText="1"/>
    </xf>
    <xf numFmtId="0" fontId="75" fillId="40" borderId="0" xfId="0" applyFont="1" applyFill="1" applyBorder="1" applyAlignment="1">
      <alignment horizontal="left" vertical="center"/>
    </xf>
    <xf numFmtId="0" fontId="75" fillId="40" borderId="0" xfId="0" applyFont="1" applyFill="1" applyBorder="1" applyAlignment="1">
      <alignment horizontal="left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40" borderId="23" xfId="0" applyFont="1" applyFill="1" applyBorder="1" applyAlignment="1">
      <alignment horizontal="right" vertical="center" wrapText="1"/>
    </xf>
    <xf numFmtId="0" fontId="75" fillId="40" borderId="23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/>
    </xf>
    <xf numFmtId="0" fontId="63" fillId="0" borderId="3" xfId="0" applyFont="1" applyFill="1" applyBorder="1" applyAlignment="1">
      <alignment horizontal="center" vertical="center" wrapText="1"/>
    </xf>
    <xf numFmtId="0" fontId="63" fillId="40" borderId="3" xfId="0" applyFont="1" applyFill="1" applyBorder="1" applyAlignment="1">
      <alignment horizontal="center" vertical="center" wrapText="1"/>
    </xf>
    <xf numFmtId="0" fontId="63" fillId="40" borderId="3" xfId="0" applyFont="1" applyFill="1" applyBorder="1" applyAlignment="1">
      <alignment horizontal="center" vertical="center" wrapText="1" shrinkToFit="1"/>
    </xf>
    <xf numFmtId="0" fontId="77" fillId="0" borderId="3" xfId="0" applyFont="1" applyFill="1" applyBorder="1" applyAlignment="1">
      <alignment horizontal="center" vertical="center" wrapText="1"/>
    </xf>
    <xf numFmtId="0" fontId="68" fillId="0" borderId="3" xfId="0" applyFont="1" applyFill="1" applyBorder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68" fillId="0" borderId="3" xfId="0" applyFont="1" applyFill="1" applyBorder="1" applyAlignment="1" applyProtection="1">
      <alignment horizontal="center"/>
      <protection locked="0"/>
    </xf>
    <xf numFmtId="0" fontId="68" fillId="0" borderId="3" xfId="288" applyNumberFormat="1" applyFont="1" applyFill="1" applyBorder="1" applyAlignment="1">
      <alignment horizontal="center" vertical="center" wrapText="1"/>
      <protection/>
    </xf>
    <xf numFmtId="175" fontId="54" fillId="40" borderId="30" xfId="0" applyNumberFormat="1" applyFont="1" applyFill="1" applyBorder="1" applyAlignment="1">
      <alignment horizontal="center" vertical="center" wrapText="1"/>
    </xf>
    <xf numFmtId="0" fontId="54" fillId="40" borderId="0" xfId="0" applyFont="1" applyFill="1" applyBorder="1" applyAlignment="1">
      <alignment vertical="center"/>
    </xf>
    <xf numFmtId="0" fontId="75" fillId="40" borderId="0" xfId="0" applyFont="1" applyFill="1" applyBorder="1" applyAlignment="1">
      <alignment horizontal="center" vertical="center"/>
    </xf>
    <xf numFmtId="0" fontId="75" fillId="40" borderId="37" xfId="0" applyFont="1" applyFill="1" applyBorder="1" applyAlignment="1">
      <alignment horizontal="center" vertical="center"/>
    </xf>
    <xf numFmtId="0" fontId="75" fillId="0" borderId="30" xfId="0" applyFont="1" applyFill="1" applyBorder="1" applyAlignment="1">
      <alignment vertical="center"/>
    </xf>
    <xf numFmtId="0" fontId="75" fillId="0" borderId="37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 vertical="center" wrapText="1"/>
    </xf>
    <xf numFmtId="0" fontId="54" fillId="40" borderId="3" xfId="0" applyFont="1" applyFill="1" applyBorder="1" applyAlignment="1">
      <alignment horizontal="center" vertical="center" wrapText="1" shrinkToFit="1"/>
    </xf>
    <xf numFmtId="0" fontId="68" fillId="0" borderId="3" xfId="0" applyFont="1" applyFill="1" applyBorder="1" applyAlignment="1">
      <alignment horizontal="left" vertical="center" wrapText="1"/>
    </xf>
    <xf numFmtId="175" fontId="54" fillId="40" borderId="0" xfId="0" applyNumberFormat="1" applyFont="1" applyFill="1" applyBorder="1" applyAlignment="1">
      <alignment horizontal="left" vertical="center" wrapText="1"/>
    </xf>
    <xf numFmtId="0" fontId="54" fillId="40" borderId="0" xfId="0" applyFont="1" applyFill="1" applyBorder="1" applyAlignment="1">
      <alignment vertical="center"/>
    </xf>
    <xf numFmtId="0" fontId="54" fillId="40" borderId="0" xfId="0" applyFont="1" applyFill="1" applyBorder="1" applyAlignment="1">
      <alignment horizontal="left" vertical="center"/>
    </xf>
    <xf numFmtId="0" fontId="54" fillId="4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 shrinkToFit="1"/>
    </xf>
    <xf numFmtId="0" fontId="64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8" fillId="0" borderId="3" xfId="0" applyFont="1" applyFill="1" applyBorder="1" applyAlignment="1">
      <alignment horizontal="center" vertical="center"/>
    </xf>
    <xf numFmtId="0" fontId="58" fillId="40" borderId="3" xfId="0" applyFont="1" applyFill="1" applyBorder="1" applyAlignment="1">
      <alignment horizontal="center" vertical="center" wrapText="1"/>
    </xf>
    <xf numFmtId="0" fontId="64" fillId="0" borderId="3" xfId="0" applyFont="1" applyFill="1" applyBorder="1" applyAlignment="1">
      <alignment horizontal="left" vertical="center" wrapText="1"/>
    </xf>
    <xf numFmtId="179" fontId="64" fillId="40" borderId="3" xfId="0" applyNumberFormat="1" applyFont="1" applyFill="1" applyBorder="1" applyAlignment="1">
      <alignment horizontal="center" vertical="center" wrapText="1"/>
    </xf>
    <xf numFmtId="179" fontId="64" fillId="40" borderId="3" xfId="0" applyNumberFormat="1" applyFont="1" applyFill="1" applyBorder="1" applyAlignment="1">
      <alignment vertical="center" wrapText="1"/>
    </xf>
    <xf numFmtId="180" fontId="64" fillId="40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left" vertical="center" wrapText="1"/>
    </xf>
    <xf numFmtId="179" fontId="58" fillId="40" borderId="3" xfId="0" applyNumberFormat="1" applyFont="1" applyFill="1" applyBorder="1" applyAlignment="1">
      <alignment horizontal="center" vertical="center" wrapText="1"/>
    </xf>
    <xf numFmtId="180" fontId="64" fillId="40" borderId="3" xfId="0" applyNumberFormat="1" applyFont="1" applyFill="1" applyBorder="1" applyAlignment="1">
      <alignment horizontal="right" vertical="center" wrapText="1"/>
    </xf>
    <xf numFmtId="179" fontId="58" fillId="40" borderId="3" xfId="0" applyNumberFormat="1" applyFont="1" applyFill="1" applyBorder="1" applyAlignment="1">
      <alignment vertical="center" wrapText="1"/>
    </xf>
    <xf numFmtId="175" fontId="64" fillId="40" borderId="3" xfId="0" applyNumberFormat="1" applyFont="1" applyFill="1" applyBorder="1" applyAlignment="1">
      <alignment horizontal="right" vertical="center" wrapText="1"/>
    </xf>
    <xf numFmtId="175" fontId="58" fillId="40" borderId="3" xfId="0" applyNumberFormat="1" applyFont="1" applyFill="1" applyBorder="1" applyAlignment="1">
      <alignment vertical="center" wrapText="1"/>
    </xf>
    <xf numFmtId="175" fontId="58" fillId="40" borderId="3" xfId="0" applyNumberFormat="1" applyFont="1" applyFill="1" applyBorder="1" applyAlignment="1">
      <alignment horizontal="right" vertical="center" wrapText="1"/>
    </xf>
    <xf numFmtId="3" fontId="64" fillId="40" borderId="3" xfId="0" applyNumberFormat="1" applyFont="1" applyFill="1" applyBorder="1" applyAlignment="1">
      <alignment horizontal="right" vertical="center" wrapText="1"/>
    </xf>
    <xf numFmtId="3" fontId="58" fillId="40" borderId="3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justify" vertical="center" wrapText="1" shrinkToFit="1"/>
    </xf>
  </cellXfs>
  <cellStyles count="400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— акцент1" xfId="29"/>
    <cellStyle name="20% - Акцент1 2" xfId="30"/>
    <cellStyle name="20% - Акцент1 3" xfId="31"/>
    <cellStyle name="20% — акцент2" xfId="32"/>
    <cellStyle name="20% - Акцент2 2" xfId="33"/>
    <cellStyle name="20% - Акцент2 3" xfId="34"/>
    <cellStyle name="20% — акцент3" xfId="35"/>
    <cellStyle name="20% - Акцент3 2" xfId="36"/>
    <cellStyle name="20% - Акцент3 3" xfId="37"/>
    <cellStyle name="20% — акцент4" xfId="38"/>
    <cellStyle name="20% - Акцент4 2" xfId="39"/>
    <cellStyle name="20% - Акцент4 3" xfId="40"/>
    <cellStyle name="20% — акцент5" xfId="41"/>
    <cellStyle name="20% - Акцент5 2" xfId="42"/>
    <cellStyle name="20% - Акцент5 3" xfId="43"/>
    <cellStyle name="20% —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— акцент1" xfId="53"/>
    <cellStyle name="40% - Акцент1 2" xfId="54"/>
    <cellStyle name="40% - Акцент1 3" xfId="55"/>
    <cellStyle name="40% — акцент2" xfId="56"/>
    <cellStyle name="40% - Акцент2 2" xfId="57"/>
    <cellStyle name="40% - Акцент2 3" xfId="58"/>
    <cellStyle name="40% — акцент3" xfId="59"/>
    <cellStyle name="40% - Акцент3 2" xfId="60"/>
    <cellStyle name="40% - Акцент3 3" xfId="61"/>
    <cellStyle name="40% — акцент4" xfId="62"/>
    <cellStyle name="40% - Акцент4 2" xfId="63"/>
    <cellStyle name="40% - Акцент4 3" xfId="64"/>
    <cellStyle name="40% — акцент5" xfId="65"/>
    <cellStyle name="40% - Акцент5 2" xfId="66"/>
    <cellStyle name="40% - Акцент5 3" xfId="67"/>
    <cellStyle name="40% —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— акцент1" xfId="77"/>
    <cellStyle name="60% - Акцент1 2" xfId="78"/>
    <cellStyle name="60% - Акцент1 3" xfId="79"/>
    <cellStyle name="60% — акцент2" xfId="80"/>
    <cellStyle name="60% - Акцент2 2" xfId="81"/>
    <cellStyle name="60% - Акцент2 3" xfId="82"/>
    <cellStyle name="60% — акцент3" xfId="83"/>
    <cellStyle name="60% - Акцент3 2" xfId="84"/>
    <cellStyle name="60% - Акцент3 3" xfId="85"/>
    <cellStyle name="60% — акцент4" xfId="86"/>
    <cellStyle name="60% - Акцент4 2" xfId="87"/>
    <cellStyle name="60% - Акцент4 3" xfId="88"/>
    <cellStyle name="60% — акцент5" xfId="89"/>
    <cellStyle name="60% - Акцент5 2" xfId="90"/>
    <cellStyle name="60% - Акцент5 3" xfId="91"/>
    <cellStyle name="60% —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planatory Text" xfId="135"/>
    <cellStyle name="FS10" xfId="136"/>
    <cellStyle name="Good" xfId="137"/>
    <cellStyle name="Heading 1" xfId="138"/>
    <cellStyle name="Heading 2" xfId="139"/>
    <cellStyle name="Heading 3" xfId="140"/>
    <cellStyle name="Heading 4" xfId="141"/>
    <cellStyle name="Hyperlink 2" xfId="142"/>
    <cellStyle name="Input" xfId="143"/>
    <cellStyle name="Level0" xfId="144"/>
    <cellStyle name="Level0 10" xfId="145"/>
    <cellStyle name="Level0 2" xfId="146"/>
    <cellStyle name="Level0 2 2" xfId="147"/>
    <cellStyle name="Level0 3" xfId="148"/>
    <cellStyle name="Level0 3 2" xfId="149"/>
    <cellStyle name="Level0 4" xfId="150"/>
    <cellStyle name="Level0 4 2" xfId="151"/>
    <cellStyle name="Level0 5" xfId="152"/>
    <cellStyle name="Level0 6" xfId="153"/>
    <cellStyle name="Level0 7" xfId="154"/>
    <cellStyle name="Level0 7 2" xfId="155"/>
    <cellStyle name="Level0 7 3" xfId="156"/>
    <cellStyle name="Level0 8" xfId="157"/>
    <cellStyle name="Level0 8 2" xfId="158"/>
    <cellStyle name="Level0 8 3" xfId="159"/>
    <cellStyle name="Level0 9" xfId="160"/>
    <cellStyle name="Level0 9 2" xfId="161"/>
    <cellStyle name="Level0 9 3" xfId="162"/>
    <cellStyle name="Level0_Zvit rux-koshtiv 2010 Департамент " xfId="163"/>
    <cellStyle name="Level1" xfId="164"/>
    <cellStyle name="Level1 2" xfId="165"/>
    <cellStyle name="Level1-Numbers" xfId="166"/>
    <cellStyle name="Level1-Numbers 2" xfId="167"/>
    <cellStyle name="Level1-Numbers-Hide" xfId="168"/>
    <cellStyle name="Level2" xfId="169"/>
    <cellStyle name="Level2 2" xfId="170"/>
    <cellStyle name="Level2-Hide" xfId="171"/>
    <cellStyle name="Level2-Hide 2" xfId="172"/>
    <cellStyle name="Level2-Numbers" xfId="173"/>
    <cellStyle name="Level2-Numbers 2" xfId="174"/>
    <cellStyle name="Level2-Numbers-Hide" xfId="175"/>
    <cellStyle name="Level3" xfId="176"/>
    <cellStyle name="Level3 2" xfId="177"/>
    <cellStyle name="Level3 3" xfId="178"/>
    <cellStyle name="Level3_План департамент_2010_1207" xfId="179"/>
    <cellStyle name="Level3-Hide" xfId="180"/>
    <cellStyle name="Level3-Hide 2" xfId="181"/>
    <cellStyle name="Level3-Numbers" xfId="182"/>
    <cellStyle name="Level3-Numbers 2" xfId="183"/>
    <cellStyle name="Level3-Numbers 3" xfId="184"/>
    <cellStyle name="Level3-Numbers_План департамент_2010_1207" xfId="185"/>
    <cellStyle name="Level3-Numbers-Hide" xfId="186"/>
    <cellStyle name="Level4" xfId="187"/>
    <cellStyle name="Level4 2" xfId="188"/>
    <cellStyle name="Level4-Hide" xfId="189"/>
    <cellStyle name="Level4-Hide 2" xfId="190"/>
    <cellStyle name="Level4-Numbers" xfId="191"/>
    <cellStyle name="Level4-Numbers 2" xfId="192"/>
    <cellStyle name="Level4-Numbers-Hide" xfId="193"/>
    <cellStyle name="Level5" xfId="194"/>
    <cellStyle name="Level5 2" xfId="195"/>
    <cellStyle name="Level5-Hide" xfId="196"/>
    <cellStyle name="Level5-Hide 2" xfId="197"/>
    <cellStyle name="Level5-Numbers" xfId="198"/>
    <cellStyle name="Level5-Numbers 2" xfId="199"/>
    <cellStyle name="Level5-Numbers-Hide" xfId="200"/>
    <cellStyle name="Level6" xfId="201"/>
    <cellStyle name="Level6 2" xfId="202"/>
    <cellStyle name="Level6-Hide" xfId="203"/>
    <cellStyle name="Level6-Hide 2" xfId="204"/>
    <cellStyle name="Level6-Numbers" xfId="205"/>
    <cellStyle name="Level6-Numbers 2" xfId="206"/>
    <cellStyle name="Level7" xfId="207"/>
    <cellStyle name="Level7-Hide" xfId="208"/>
    <cellStyle name="Level7-Numbers" xfId="209"/>
    <cellStyle name="Linked Cell" xfId="210"/>
    <cellStyle name="Neutral" xfId="211"/>
    <cellStyle name="Normal 2" xfId="212"/>
    <cellStyle name="Normal_2005_03_15-Финансовый_БГ" xfId="213"/>
    <cellStyle name="Normal_GSE DCF_Model_31_07_09 final" xfId="214"/>
    <cellStyle name="Note" xfId="215"/>
    <cellStyle name="Number-Cells" xfId="216"/>
    <cellStyle name="Number-Cells-Column2" xfId="217"/>
    <cellStyle name="Number-Cells-Column5" xfId="218"/>
    <cellStyle name="Output" xfId="219"/>
    <cellStyle name="Row-Header" xfId="220"/>
    <cellStyle name="Row-Header 2" xfId="221"/>
    <cellStyle name="Title" xfId="222"/>
    <cellStyle name="Total" xfId="223"/>
    <cellStyle name="Warning Text" xfId="224"/>
    <cellStyle name="Акцент1" xfId="225"/>
    <cellStyle name="Акцент1 2" xfId="226"/>
    <cellStyle name="Акцент1 3" xfId="227"/>
    <cellStyle name="Акцент2" xfId="228"/>
    <cellStyle name="Акцент2 2" xfId="229"/>
    <cellStyle name="Акцент2 3" xfId="230"/>
    <cellStyle name="Акцент3" xfId="231"/>
    <cellStyle name="Акцент3 2" xfId="232"/>
    <cellStyle name="Акцент3 3" xfId="233"/>
    <cellStyle name="Акцент4" xfId="234"/>
    <cellStyle name="Акцент4 2" xfId="235"/>
    <cellStyle name="Акцент4 3" xfId="236"/>
    <cellStyle name="Акцент5" xfId="237"/>
    <cellStyle name="Акцент5 2" xfId="238"/>
    <cellStyle name="Акцент5 3" xfId="239"/>
    <cellStyle name="Акцент6" xfId="240"/>
    <cellStyle name="Акцент6 2" xfId="241"/>
    <cellStyle name="Акцент6 3" xfId="242"/>
    <cellStyle name="Ввод " xfId="243"/>
    <cellStyle name="Ввод  2" xfId="244"/>
    <cellStyle name="Ввод  3" xfId="245"/>
    <cellStyle name="Вывод" xfId="246"/>
    <cellStyle name="Вывод 2" xfId="247"/>
    <cellStyle name="Вывод 3" xfId="248"/>
    <cellStyle name="Вычисление" xfId="249"/>
    <cellStyle name="Вычисление 2" xfId="250"/>
    <cellStyle name="Вычисление 3" xfId="251"/>
    <cellStyle name="Currency" xfId="252"/>
    <cellStyle name="Currency [0]" xfId="253"/>
    <cellStyle name="Денежный 2" xfId="254"/>
    <cellStyle name="Заголовок 1" xfId="255"/>
    <cellStyle name="Заголовок 1 2" xfId="256"/>
    <cellStyle name="Заголовок 1 3" xfId="257"/>
    <cellStyle name="Заголовок 2" xfId="258"/>
    <cellStyle name="Заголовок 2 2" xfId="259"/>
    <cellStyle name="Заголовок 2 3" xfId="260"/>
    <cellStyle name="Заголовок 3" xfId="261"/>
    <cellStyle name="Заголовок 3 2" xfId="262"/>
    <cellStyle name="Заголовок 3 3" xfId="263"/>
    <cellStyle name="Заголовок 4" xfId="264"/>
    <cellStyle name="Заголовок 4 2" xfId="265"/>
    <cellStyle name="Заголовок 4 3" xfId="266"/>
    <cellStyle name="Итог" xfId="267"/>
    <cellStyle name="Итог 2" xfId="268"/>
    <cellStyle name="Итог 3" xfId="269"/>
    <cellStyle name="Контрольная ячейка" xfId="270"/>
    <cellStyle name="Контрольная ячейка 2" xfId="271"/>
    <cellStyle name="Контрольная ячейка 3" xfId="272"/>
    <cellStyle name="Название" xfId="273"/>
    <cellStyle name="Название 2" xfId="274"/>
    <cellStyle name="Название 3" xfId="275"/>
    <cellStyle name="Нейтральный" xfId="276"/>
    <cellStyle name="Нейтральный 2" xfId="277"/>
    <cellStyle name="Нейтральный 3" xfId="278"/>
    <cellStyle name="Обычный 10" xfId="279"/>
    <cellStyle name="Обычный 11" xfId="280"/>
    <cellStyle name="Обычный 12" xfId="281"/>
    <cellStyle name="Обычный 13" xfId="282"/>
    <cellStyle name="Обычный 14" xfId="283"/>
    <cellStyle name="Обычный 15" xfId="284"/>
    <cellStyle name="Обычный 16" xfId="285"/>
    <cellStyle name="Обычный 17" xfId="286"/>
    <cellStyle name="Обычный 18" xfId="287"/>
    <cellStyle name="Обычный 2" xfId="288"/>
    <cellStyle name="Обычный 2 10" xfId="289"/>
    <cellStyle name="Обычный 2 11" xfId="290"/>
    <cellStyle name="Обычный 2 12" xfId="291"/>
    <cellStyle name="Обычный 2 13" xfId="292"/>
    <cellStyle name="Обычный 2 14" xfId="293"/>
    <cellStyle name="Обычный 2 15" xfId="294"/>
    <cellStyle name="Обычный 2 16" xfId="295"/>
    <cellStyle name="Обычный 2 2" xfId="296"/>
    <cellStyle name="Обычный 2 2 2" xfId="297"/>
    <cellStyle name="Обычный 2 2 3" xfId="298"/>
    <cellStyle name="Обычный 2 2_Расшифровка прочих" xfId="299"/>
    <cellStyle name="Обычный 2 3" xfId="300"/>
    <cellStyle name="Обычный 2 4" xfId="301"/>
    <cellStyle name="Обычный 2 5" xfId="302"/>
    <cellStyle name="Обычный 2 6" xfId="303"/>
    <cellStyle name="Обычный 2 7" xfId="304"/>
    <cellStyle name="Обычный 2 8" xfId="305"/>
    <cellStyle name="Обычный 2 9" xfId="306"/>
    <cellStyle name="Обычный 2_2604-2010" xfId="307"/>
    <cellStyle name="Обычный 3" xfId="308"/>
    <cellStyle name="Обычный 3 10" xfId="309"/>
    <cellStyle name="Обычный 3 11" xfId="310"/>
    <cellStyle name="Обычный 3 12" xfId="311"/>
    <cellStyle name="Обычный 3 13" xfId="312"/>
    <cellStyle name="Обычный 3 14" xfId="313"/>
    <cellStyle name="Обычный 3 2" xfId="314"/>
    <cellStyle name="Обычный 3 3" xfId="315"/>
    <cellStyle name="Обычный 3 4" xfId="316"/>
    <cellStyle name="Обычный 3 5" xfId="317"/>
    <cellStyle name="Обычный 3 6" xfId="318"/>
    <cellStyle name="Обычный 3 7" xfId="319"/>
    <cellStyle name="Обычный 3 8" xfId="320"/>
    <cellStyle name="Обычный 3 9" xfId="321"/>
    <cellStyle name="Обычный 3_Дефицит_7 млрд_0608_бс" xfId="322"/>
    <cellStyle name="Обычный 4" xfId="323"/>
    <cellStyle name="Обычный 5" xfId="324"/>
    <cellStyle name="Обычный 5 2" xfId="325"/>
    <cellStyle name="Обычный 6" xfId="326"/>
    <cellStyle name="Обычный 6 2" xfId="327"/>
    <cellStyle name="Обычный 6 3" xfId="328"/>
    <cellStyle name="Обычный 6 4" xfId="329"/>
    <cellStyle name="Обычный 6_Дефицит_7 млрд_0608_бс" xfId="330"/>
    <cellStyle name="Обычный 7" xfId="331"/>
    <cellStyle name="Обычный 7 2" xfId="332"/>
    <cellStyle name="Обычный 8" xfId="333"/>
    <cellStyle name="Обычный 9" xfId="334"/>
    <cellStyle name="Обычный 9 2" xfId="335"/>
    <cellStyle name="Обычный_Dod5kochtor" xfId="336"/>
    <cellStyle name="Плохой" xfId="337"/>
    <cellStyle name="Плохой 2" xfId="338"/>
    <cellStyle name="Плохой 3" xfId="339"/>
    <cellStyle name="Пояснение" xfId="340"/>
    <cellStyle name="Пояснение 2" xfId="341"/>
    <cellStyle name="Пояснение 3" xfId="342"/>
    <cellStyle name="Примечание" xfId="343"/>
    <cellStyle name="Примечание 2" xfId="344"/>
    <cellStyle name="Примечание 3" xfId="345"/>
    <cellStyle name="Percent" xfId="346"/>
    <cellStyle name="Процентный 2" xfId="347"/>
    <cellStyle name="Процентный 2 10" xfId="348"/>
    <cellStyle name="Процентный 2 11" xfId="349"/>
    <cellStyle name="Процентный 2 12" xfId="350"/>
    <cellStyle name="Процентный 2 13" xfId="351"/>
    <cellStyle name="Процентный 2 14" xfId="352"/>
    <cellStyle name="Процентный 2 15" xfId="353"/>
    <cellStyle name="Процентный 2 16" xfId="354"/>
    <cellStyle name="Процентный 2 2" xfId="355"/>
    <cellStyle name="Процентный 2 3" xfId="356"/>
    <cellStyle name="Процентный 2 4" xfId="357"/>
    <cellStyle name="Процентный 2 5" xfId="358"/>
    <cellStyle name="Процентный 2 6" xfId="359"/>
    <cellStyle name="Процентный 2 7" xfId="360"/>
    <cellStyle name="Процентный 2 8" xfId="361"/>
    <cellStyle name="Процентный 2 9" xfId="362"/>
    <cellStyle name="Процентный 3" xfId="363"/>
    <cellStyle name="Процентный 4" xfId="364"/>
    <cellStyle name="Процентный 4 2" xfId="365"/>
    <cellStyle name="Связанная ячейка" xfId="366"/>
    <cellStyle name="Связанная ячейка 2" xfId="367"/>
    <cellStyle name="Связанная ячейка 3" xfId="368"/>
    <cellStyle name="Стиль 1" xfId="369"/>
    <cellStyle name="Стиль 1 2" xfId="370"/>
    <cellStyle name="Стиль 1 3" xfId="371"/>
    <cellStyle name="Стиль 1 4" xfId="372"/>
    <cellStyle name="Стиль 1 5" xfId="373"/>
    <cellStyle name="Стиль 1 6" xfId="374"/>
    <cellStyle name="Стиль 1 7" xfId="375"/>
    <cellStyle name="Текст предупреждения" xfId="376"/>
    <cellStyle name="Текст предупреждения 2" xfId="377"/>
    <cellStyle name="Текст предупреждения 3" xfId="378"/>
    <cellStyle name="Тысячи [0]_1.62" xfId="379"/>
    <cellStyle name="Тысячи_1.62" xfId="380"/>
    <cellStyle name="Comma" xfId="381"/>
    <cellStyle name="Comma [0]" xfId="382"/>
    <cellStyle name="Финансовый 2" xfId="383"/>
    <cellStyle name="Финансовый 2 10" xfId="384"/>
    <cellStyle name="Финансовый 2 11" xfId="385"/>
    <cellStyle name="Финансовый 2 12" xfId="386"/>
    <cellStyle name="Финансовый 2 13" xfId="387"/>
    <cellStyle name="Финансовый 2 14" xfId="388"/>
    <cellStyle name="Финансовый 2 15" xfId="389"/>
    <cellStyle name="Финансовый 2 16" xfId="390"/>
    <cellStyle name="Финансовый 2 17" xfId="391"/>
    <cellStyle name="Финансовый 2 2" xfId="392"/>
    <cellStyle name="Финансовый 2 3" xfId="393"/>
    <cellStyle name="Финансовый 2 4" xfId="394"/>
    <cellStyle name="Финансовый 2 5" xfId="395"/>
    <cellStyle name="Финансовый 2 6" xfId="396"/>
    <cellStyle name="Финансовый 2 7" xfId="397"/>
    <cellStyle name="Финансовый 2 8" xfId="398"/>
    <cellStyle name="Финансовый 2 9" xfId="399"/>
    <cellStyle name="Финансовый 3" xfId="400"/>
    <cellStyle name="Финансовый 3 2" xfId="401"/>
    <cellStyle name="Финансовый 4" xfId="402"/>
    <cellStyle name="Финансовый 4 2" xfId="403"/>
    <cellStyle name="Финансовый 4 3" xfId="404"/>
    <cellStyle name="Финансовый 5" xfId="405"/>
    <cellStyle name="Финансовый 6" xfId="406"/>
    <cellStyle name="Финансовый 7" xfId="407"/>
    <cellStyle name="Хороший" xfId="408"/>
    <cellStyle name="Хороший 2" xfId="409"/>
    <cellStyle name="Хороший 3" xfId="410"/>
    <cellStyle name="числовой" xfId="411"/>
    <cellStyle name="Ю" xfId="412"/>
    <cellStyle name="Ю-FreeSet_10" xfId="4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99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184"/>
  <sheetViews>
    <sheetView tabSelected="1" zoomScale="60" zoomScaleNormal="60" zoomScaleSheetLayoutView="50" zoomScalePageLayoutView="0" workbookViewId="0" topLeftCell="A14">
      <pane xSplit="3" topLeftCell="D1" activePane="topRight" state="frozen"/>
      <selection pane="topLeft" activeCell="A135" sqref="A135"/>
      <selection pane="topRight" activeCell="L27" sqref="L27:O27"/>
    </sheetView>
  </sheetViews>
  <sheetFormatPr defaultColWidth="9.00390625" defaultRowHeight="12.75" outlineLevelRow="1" outlineLevelCol="1"/>
  <cols>
    <col min="1" max="1" width="75.875" style="1" customWidth="1"/>
    <col min="2" max="2" width="33.375" style="2" customWidth="1"/>
    <col min="3" max="3" width="0" style="3" hidden="1" customWidth="1"/>
    <col min="4" max="4" width="19.375" style="4" customWidth="1"/>
    <col min="5" max="5" width="19.875" style="5" customWidth="1"/>
    <col min="6" max="11" width="0" style="5" hidden="1" customWidth="1" outlineLevel="1"/>
    <col min="12" max="12" width="23.375" style="6" customWidth="1" collapsed="1"/>
    <col min="13" max="13" width="23.125" style="5" customWidth="1"/>
    <col min="14" max="14" width="22.25390625" style="5" customWidth="1"/>
    <col min="15" max="15" width="18.125" style="5" customWidth="1"/>
    <col min="16" max="16" width="10.00390625" style="1" customWidth="1"/>
    <col min="17" max="17" width="9.625" style="1" customWidth="1"/>
    <col min="18" max="255" width="9.125" style="1" customWidth="1"/>
  </cols>
  <sheetData>
    <row r="1" spans="1:19" ht="37.5" customHeight="1">
      <c r="A1" s="7"/>
      <c r="B1" s="8"/>
      <c r="C1" s="9"/>
      <c r="D1" s="10"/>
      <c r="E1" s="11"/>
      <c r="F1" s="11"/>
      <c r="G1" s="11"/>
      <c r="H1" s="11"/>
      <c r="I1" s="11"/>
      <c r="J1" s="11"/>
      <c r="K1" s="11"/>
      <c r="L1" s="12"/>
      <c r="M1" s="341" t="s">
        <v>0</v>
      </c>
      <c r="N1" s="341"/>
      <c r="O1" s="341"/>
      <c r="P1" s="13"/>
      <c r="Q1" s="13"/>
      <c r="R1" s="13"/>
      <c r="S1" s="13"/>
    </row>
    <row r="2" spans="1:19" ht="23.25" outlineLevel="1">
      <c r="A2" s="14"/>
      <c r="B2" s="15"/>
      <c r="C2" s="16"/>
      <c r="D2" s="17"/>
      <c r="E2" s="18"/>
      <c r="F2" s="18"/>
      <c r="G2" s="18"/>
      <c r="H2" s="18"/>
      <c r="I2" s="18"/>
      <c r="J2" s="18"/>
      <c r="K2" s="18"/>
      <c r="L2" s="12"/>
      <c r="M2" s="342" t="s">
        <v>1</v>
      </c>
      <c r="N2" s="342"/>
      <c r="O2" s="342"/>
      <c r="P2" s="13"/>
      <c r="Q2" s="13"/>
      <c r="R2" s="13"/>
      <c r="S2" s="13"/>
    </row>
    <row r="3" spans="1:19" ht="23.25" outlineLevel="1">
      <c r="A3" s="15"/>
      <c r="B3" s="15"/>
      <c r="C3" s="16"/>
      <c r="D3" s="17"/>
      <c r="E3" s="18"/>
      <c r="F3" s="18"/>
      <c r="G3" s="18"/>
      <c r="H3" s="18"/>
      <c r="I3" s="18"/>
      <c r="J3" s="18"/>
      <c r="K3" s="18"/>
      <c r="L3" s="12"/>
      <c r="M3" s="342" t="s">
        <v>2</v>
      </c>
      <c r="N3" s="342"/>
      <c r="O3" s="342"/>
      <c r="P3" s="13"/>
      <c r="Q3" s="13"/>
      <c r="R3" s="13"/>
      <c r="S3" s="13"/>
    </row>
    <row r="4" spans="1:19" ht="23.25" outlineLevel="1">
      <c r="A4" s="15"/>
      <c r="B4" s="15"/>
      <c r="C4" s="16"/>
      <c r="D4" s="17"/>
      <c r="E4" s="18"/>
      <c r="F4" s="18"/>
      <c r="G4" s="18"/>
      <c r="H4" s="18"/>
      <c r="I4" s="18"/>
      <c r="J4" s="18"/>
      <c r="K4" s="18"/>
      <c r="L4" s="12"/>
      <c r="M4" s="342" t="s">
        <v>3</v>
      </c>
      <c r="N4" s="342"/>
      <c r="O4" s="342"/>
      <c r="P4" s="13"/>
      <c r="Q4" s="13"/>
      <c r="R4" s="13"/>
      <c r="S4" s="13"/>
    </row>
    <row r="5" spans="1:15" ht="23.25" outlineLevel="1">
      <c r="A5" s="7"/>
      <c r="B5" s="19"/>
      <c r="C5" s="20"/>
      <c r="D5" s="21"/>
      <c r="E5" s="22"/>
      <c r="F5" s="22"/>
      <c r="G5" s="22"/>
      <c r="H5" s="22"/>
      <c r="I5" s="22"/>
      <c r="J5" s="22"/>
      <c r="K5" s="22"/>
      <c r="L5" s="12"/>
      <c r="M5" s="23"/>
      <c r="N5" s="18"/>
      <c r="O5" s="18"/>
    </row>
    <row r="6" spans="1:15" ht="24" customHeight="1" outlineLevel="1">
      <c r="A6" s="24"/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26"/>
      <c r="N6" s="27" t="s">
        <v>4</v>
      </c>
      <c r="O6" s="28" t="s">
        <v>5</v>
      </c>
    </row>
    <row r="7" spans="1:15" ht="44.25" customHeight="1" outlineLevel="1">
      <c r="A7" s="29" t="s">
        <v>6</v>
      </c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0" t="s">
        <v>7</v>
      </c>
      <c r="O7" s="31">
        <v>34811465</v>
      </c>
    </row>
    <row r="8" spans="1:15" ht="44.25" customHeight="1" outlineLevel="1">
      <c r="A8" s="29" t="s">
        <v>8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0" t="s">
        <v>9</v>
      </c>
      <c r="O8" s="31">
        <v>150</v>
      </c>
    </row>
    <row r="9" spans="1:15" ht="24" customHeight="1" outlineLevel="1">
      <c r="A9" s="29" t="s">
        <v>10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0" t="s">
        <v>11</v>
      </c>
      <c r="O9" s="31">
        <v>1211000000</v>
      </c>
    </row>
    <row r="10" spans="1:15" ht="24" customHeight="1" outlineLevel="1">
      <c r="A10" s="29" t="s">
        <v>12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0" t="s">
        <v>13</v>
      </c>
      <c r="O10" s="31"/>
    </row>
    <row r="11" spans="1:15" ht="24" customHeight="1" outlineLevel="1">
      <c r="A11" s="29" t="s">
        <v>14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0" t="s">
        <v>15</v>
      </c>
      <c r="O11" s="31"/>
    </row>
    <row r="12" spans="1:15" ht="65.25" customHeight="1" outlineLevel="1">
      <c r="A12" s="29" t="s">
        <v>16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0" t="s">
        <v>17</v>
      </c>
      <c r="O12" s="31" t="s">
        <v>18</v>
      </c>
    </row>
    <row r="13" spans="1:15" ht="46.5" outlineLevel="1">
      <c r="A13" s="29" t="s">
        <v>19</v>
      </c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5"/>
      <c r="M13" s="34"/>
      <c r="N13" s="36" t="s">
        <v>20</v>
      </c>
      <c r="O13" s="37"/>
    </row>
    <row r="14" spans="1:15" ht="23.25" outlineLevel="1">
      <c r="A14" s="29" t="s">
        <v>21</v>
      </c>
      <c r="B14" s="25"/>
      <c r="C14" s="38"/>
      <c r="D14" s="39"/>
      <c r="E14" s="40"/>
      <c r="F14" s="40"/>
      <c r="G14" s="40"/>
      <c r="H14" s="40"/>
      <c r="I14" s="40"/>
      <c r="J14" s="40"/>
      <c r="K14" s="40"/>
      <c r="L14" s="41"/>
      <c r="M14" s="40"/>
      <c r="N14" s="36" t="s">
        <v>22</v>
      </c>
      <c r="O14" s="37"/>
    </row>
    <row r="15" spans="1:15" s="44" customFormat="1" ht="44.25" customHeight="1" outlineLevel="1">
      <c r="A15" s="42" t="s">
        <v>23</v>
      </c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43"/>
      <c r="O15" s="43"/>
    </row>
    <row r="16" spans="1:15" ht="65.25" customHeight="1" outlineLevel="1">
      <c r="A16" s="29" t="s">
        <v>24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45"/>
      <c r="O16" s="45"/>
    </row>
    <row r="17" spans="1:15" ht="24" customHeight="1" outlineLevel="1">
      <c r="A17" s="29" t="s">
        <v>25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46"/>
      <c r="O17" s="46"/>
    </row>
    <row r="18" spans="1:15" ht="24" customHeight="1" outlineLevel="1">
      <c r="A18" s="29" t="s">
        <v>26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45"/>
      <c r="O18" s="45"/>
    </row>
    <row r="19" spans="1:15" ht="23.25" outlineLevel="1">
      <c r="A19" s="47"/>
      <c r="B19" s="7"/>
      <c r="C19" s="48"/>
      <c r="D19" s="49"/>
      <c r="E19" s="50"/>
      <c r="F19" s="50"/>
      <c r="G19" s="50"/>
      <c r="H19" s="50"/>
      <c r="I19" s="50"/>
      <c r="J19" s="50"/>
      <c r="K19" s="50"/>
      <c r="L19" s="12"/>
      <c r="M19" s="50"/>
      <c r="N19" s="50"/>
      <c r="O19" s="50"/>
    </row>
    <row r="20" spans="1:15" ht="22.5">
      <c r="A20" s="345" t="s">
        <v>27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</row>
    <row r="21" spans="1:15" ht="22.5">
      <c r="A21" s="345" t="s">
        <v>28</v>
      </c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</row>
    <row r="22" spans="1:15" ht="22.5">
      <c r="A22" s="346" t="s">
        <v>433</v>
      </c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</row>
    <row r="23" spans="1:15" ht="23.25">
      <c r="A23" s="347" t="s">
        <v>29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347"/>
    </row>
    <row r="24" spans="1:15" ht="22.5">
      <c r="A24" s="51"/>
      <c r="B24" s="51"/>
      <c r="C24" s="52"/>
      <c r="D24" s="53"/>
      <c r="E24" s="54"/>
      <c r="F24" s="54"/>
      <c r="G24" s="54"/>
      <c r="H24" s="54"/>
      <c r="I24" s="54"/>
      <c r="J24" s="54"/>
      <c r="K24" s="54"/>
      <c r="L24" s="55"/>
      <c r="M24" s="54"/>
      <c r="N24" s="54"/>
      <c r="O24" s="54"/>
    </row>
    <row r="25" spans="1:15" ht="22.5">
      <c r="A25" s="345" t="s">
        <v>30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</row>
    <row r="26" spans="1:15" ht="23.25">
      <c r="A26" s="7"/>
      <c r="B26" s="56"/>
      <c r="C26" s="57"/>
      <c r="D26" s="58"/>
      <c r="E26" s="59"/>
      <c r="F26" s="59"/>
      <c r="G26" s="59"/>
      <c r="H26" s="59"/>
      <c r="I26" s="59"/>
      <c r="J26" s="59"/>
      <c r="K26" s="59"/>
      <c r="L26" s="60"/>
      <c r="M26" s="59"/>
      <c r="N26" s="59"/>
      <c r="O26" s="59"/>
    </row>
    <row r="27" spans="1:15" ht="44.25" customHeight="1">
      <c r="A27" s="348" t="s">
        <v>31</v>
      </c>
      <c r="B27" s="349" t="s">
        <v>32</v>
      </c>
      <c r="C27" s="350" t="s">
        <v>33</v>
      </c>
      <c r="D27" s="350"/>
      <c r="E27" s="350"/>
      <c r="F27" s="350" t="s">
        <v>34</v>
      </c>
      <c r="G27" s="350" t="s">
        <v>35</v>
      </c>
      <c r="H27" s="350" t="s">
        <v>36</v>
      </c>
      <c r="I27" s="350"/>
      <c r="J27" s="350" t="s">
        <v>37</v>
      </c>
      <c r="K27" s="350"/>
      <c r="L27" s="351" t="s">
        <v>434</v>
      </c>
      <c r="M27" s="351"/>
      <c r="N27" s="351"/>
      <c r="O27" s="351"/>
    </row>
    <row r="28" spans="1:15" ht="69.75">
      <c r="A28" s="348"/>
      <c r="B28" s="349"/>
      <c r="C28" s="64" t="s">
        <v>38</v>
      </c>
      <c r="D28" s="65" t="s">
        <v>39</v>
      </c>
      <c r="E28" s="63" t="s">
        <v>40</v>
      </c>
      <c r="F28" s="66" t="s">
        <v>41</v>
      </c>
      <c r="G28" s="66" t="s">
        <v>42</v>
      </c>
      <c r="H28" s="66" t="s">
        <v>41</v>
      </c>
      <c r="I28" s="66" t="s">
        <v>42</v>
      </c>
      <c r="J28" s="66" t="s">
        <v>41</v>
      </c>
      <c r="K28" s="66" t="s">
        <v>42</v>
      </c>
      <c r="L28" s="67" t="s">
        <v>41</v>
      </c>
      <c r="M28" s="66" t="s">
        <v>42</v>
      </c>
      <c r="N28" s="66" t="s">
        <v>43</v>
      </c>
      <c r="O28" s="66" t="s">
        <v>44</v>
      </c>
    </row>
    <row r="29" spans="1:15" ht="23.25">
      <c r="A29" s="61">
        <v>1</v>
      </c>
      <c r="B29" s="62">
        <v>2</v>
      </c>
      <c r="C29" s="68">
        <v>3</v>
      </c>
      <c r="D29" s="31"/>
      <c r="E29" s="69">
        <v>4</v>
      </c>
      <c r="F29" s="69"/>
      <c r="G29" s="69"/>
      <c r="H29" s="69"/>
      <c r="I29" s="69"/>
      <c r="J29" s="69"/>
      <c r="K29" s="69"/>
      <c r="L29" s="70">
        <v>5</v>
      </c>
      <c r="M29" s="69">
        <v>6</v>
      </c>
      <c r="N29" s="28">
        <v>7</v>
      </c>
      <c r="O29" s="69">
        <v>8</v>
      </c>
    </row>
    <row r="30" spans="1:15" s="72" customFormat="1" ht="24" customHeight="1">
      <c r="A30" s="352" t="s">
        <v>45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</row>
    <row r="31" spans="1:16" s="72" customFormat="1" ht="46.5">
      <c r="A31" s="73" t="s">
        <v>46</v>
      </c>
      <c r="B31" s="74">
        <v>1000</v>
      </c>
      <c r="C31" s="75">
        <v>5097.8</v>
      </c>
      <c r="D31" s="76">
        <v>13300.8</v>
      </c>
      <c r="E31" s="76">
        <v>17403.2</v>
      </c>
      <c r="F31" s="77">
        <v>4091.8</v>
      </c>
      <c r="G31" s="78">
        <v>3994.5</v>
      </c>
      <c r="H31" s="77">
        <v>3915</v>
      </c>
      <c r="I31" s="78">
        <v>4424.6</v>
      </c>
      <c r="J31" s="78"/>
      <c r="K31" s="78">
        <v>4216.4</v>
      </c>
      <c r="L31" s="79">
        <v>4717.9</v>
      </c>
      <c r="M31" s="76">
        <f>E31-G31-I31-K31</f>
        <v>4767.700000000001</v>
      </c>
      <c r="N31" s="78">
        <f aca="true" t="shared" si="0" ref="N31:N69">M31-L31</f>
        <v>49.80000000000109</v>
      </c>
      <c r="O31" s="78">
        <f>M31/L31%</f>
        <v>101.05555437800719</v>
      </c>
      <c r="P31" s="80"/>
    </row>
    <row r="32" spans="1:16" s="72" customFormat="1" ht="46.5">
      <c r="A32" s="73" t="s">
        <v>47</v>
      </c>
      <c r="B32" s="74"/>
      <c r="C32" s="75">
        <v>0</v>
      </c>
      <c r="D32" s="76">
        <v>0</v>
      </c>
      <c r="E32" s="78">
        <v>0</v>
      </c>
      <c r="F32" s="77">
        <v>5278.9</v>
      </c>
      <c r="G32" s="78">
        <v>0</v>
      </c>
      <c r="H32" s="77">
        <v>1542.2</v>
      </c>
      <c r="I32" s="78">
        <v>0</v>
      </c>
      <c r="J32" s="78"/>
      <c r="K32" s="78"/>
      <c r="L32" s="79">
        <v>0</v>
      </c>
      <c r="M32" s="76">
        <f>E32-G32-I32-K32</f>
        <v>0</v>
      </c>
      <c r="N32" s="78">
        <f t="shared" si="0"/>
        <v>0</v>
      </c>
      <c r="O32" s="78">
        <v>0</v>
      </c>
      <c r="P32" s="80"/>
    </row>
    <row r="33" spans="1:16" s="72" customFormat="1" ht="46.5">
      <c r="A33" s="81" t="s">
        <v>48</v>
      </c>
      <c r="B33" s="62">
        <v>1010</v>
      </c>
      <c r="C33" s="75">
        <v>45762.8</v>
      </c>
      <c r="D33" s="76">
        <v>123987.8</v>
      </c>
      <c r="E33" s="76">
        <v>180017.9</v>
      </c>
      <c r="F33" s="77">
        <v>5278.9</v>
      </c>
      <c r="G33" s="78">
        <v>39580.9</v>
      </c>
      <c r="H33" s="77">
        <v>28064.3</v>
      </c>
      <c r="I33" s="78">
        <v>38273.7</v>
      </c>
      <c r="J33" s="78"/>
      <c r="K33" s="78">
        <v>49282.6</v>
      </c>
      <c r="L33" s="79">
        <v>48903</v>
      </c>
      <c r="M33" s="76">
        <f>E33-G33-I33-K33</f>
        <v>52880.700000000004</v>
      </c>
      <c r="N33" s="78">
        <f t="shared" si="0"/>
        <v>3977.7000000000044</v>
      </c>
      <c r="O33" s="78">
        <f>M33/L33%</f>
        <v>108.1338568186001</v>
      </c>
      <c r="P33" s="80"/>
    </row>
    <row r="34" spans="1:16" s="72" customFormat="1" ht="23.25">
      <c r="A34" s="82" t="s">
        <v>49</v>
      </c>
      <c r="B34" s="62">
        <v>1020</v>
      </c>
      <c r="C34" s="83">
        <f>C31-C33</f>
        <v>-40665</v>
      </c>
      <c r="D34" s="84">
        <f aca="true" t="shared" si="1" ref="D34:M34">D31+D32-D33</f>
        <v>-110687</v>
      </c>
      <c r="E34" s="85">
        <f t="shared" si="1"/>
        <v>-162614.69999999998</v>
      </c>
      <c r="F34" s="85">
        <f t="shared" si="1"/>
        <v>4091.800000000001</v>
      </c>
      <c r="G34" s="85">
        <f t="shared" si="1"/>
        <v>-35586.4</v>
      </c>
      <c r="H34" s="85">
        <f t="shared" si="1"/>
        <v>-22607.1</v>
      </c>
      <c r="I34" s="85">
        <f t="shared" si="1"/>
        <v>-33849.1</v>
      </c>
      <c r="J34" s="85">
        <f t="shared" si="1"/>
        <v>0</v>
      </c>
      <c r="K34" s="85">
        <f t="shared" si="1"/>
        <v>-45066.2</v>
      </c>
      <c r="L34" s="84">
        <f t="shared" si="1"/>
        <v>-44185.1</v>
      </c>
      <c r="M34" s="84">
        <f t="shared" si="1"/>
        <v>-48113</v>
      </c>
      <c r="N34" s="78">
        <f t="shared" si="0"/>
        <v>-3927.9000000000015</v>
      </c>
      <c r="O34" s="78">
        <f>M34/L34%</f>
        <v>108.88964832036139</v>
      </c>
      <c r="P34" s="80"/>
    </row>
    <row r="35" spans="1:16" s="72" customFormat="1" ht="23.25">
      <c r="A35" s="81" t="s">
        <v>50</v>
      </c>
      <c r="B35" s="61">
        <v>1030</v>
      </c>
      <c r="C35" s="75">
        <v>1590.4</v>
      </c>
      <c r="D35" s="76">
        <v>4236.1</v>
      </c>
      <c r="E35" s="76">
        <v>6324.5</v>
      </c>
      <c r="F35" s="86">
        <v>909.4</v>
      </c>
      <c r="G35" s="78">
        <v>1438.1</v>
      </c>
      <c r="H35" s="86">
        <v>920.8</v>
      </c>
      <c r="I35" s="78">
        <v>1462.1</v>
      </c>
      <c r="J35" s="78"/>
      <c r="K35" s="78">
        <v>1658.9</v>
      </c>
      <c r="L35" s="87">
        <v>1374.4</v>
      </c>
      <c r="M35" s="76">
        <f aca="true" t="shared" si="2" ref="M35:M47">E35-G35-I35-K35</f>
        <v>1765.3999999999996</v>
      </c>
      <c r="N35" s="78">
        <f t="shared" si="0"/>
        <v>390.99999999999955</v>
      </c>
      <c r="O35" s="78">
        <f>M35/L35%</f>
        <v>128.44877764842838</v>
      </c>
      <c r="P35" s="80"/>
    </row>
    <row r="36" spans="1:16" s="72" customFormat="1" ht="46.5">
      <c r="A36" s="88" t="s">
        <v>51</v>
      </c>
      <c r="B36" s="61">
        <v>1031</v>
      </c>
      <c r="C36" s="75">
        <v>0</v>
      </c>
      <c r="D36" s="76">
        <v>0</v>
      </c>
      <c r="E36" s="78">
        <v>0</v>
      </c>
      <c r="F36" s="86">
        <f aca="true" t="shared" si="3" ref="F36:F41">B36+C36+D36+E36</f>
        <v>1031</v>
      </c>
      <c r="G36" s="78">
        <v>0</v>
      </c>
      <c r="H36" s="86">
        <v>0</v>
      </c>
      <c r="I36" s="78">
        <v>0</v>
      </c>
      <c r="J36" s="78"/>
      <c r="K36" s="78"/>
      <c r="L36" s="87">
        <v>0</v>
      </c>
      <c r="M36" s="76">
        <f t="shared" si="2"/>
        <v>0</v>
      </c>
      <c r="N36" s="78">
        <f t="shared" si="0"/>
        <v>0</v>
      </c>
      <c r="O36" s="78">
        <v>0</v>
      </c>
      <c r="P36" s="80"/>
    </row>
    <row r="37" spans="1:16" s="72" customFormat="1" ht="23.25">
      <c r="A37" s="88" t="s">
        <v>52</v>
      </c>
      <c r="B37" s="61">
        <v>1032</v>
      </c>
      <c r="C37" s="75">
        <v>0</v>
      </c>
      <c r="D37" s="76">
        <v>0</v>
      </c>
      <c r="E37" s="78">
        <v>0</v>
      </c>
      <c r="F37" s="86">
        <f t="shared" si="3"/>
        <v>1032</v>
      </c>
      <c r="G37" s="78">
        <v>0</v>
      </c>
      <c r="H37" s="86">
        <v>0</v>
      </c>
      <c r="I37" s="78">
        <v>0</v>
      </c>
      <c r="J37" s="78"/>
      <c r="K37" s="78"/>
      <c r="L37" s="87">
        <v>0</v>
      </c>
      <c r="M37" s="76">
        <f t="shared" si="2"/>
        <v>0</v>
      </c>
      <c r="N37" s="78">
        <f t="shared" si="0"/>
        <v>0</v>
      </c>
      <c r="O37" s="78">
        <v>0</v>
      </c>
      <c r="P37" s="80"/>
    </row>
    <row r="38" spans="1:16" s="72" customFormat="1" ht="23.25">
      <c r="A38" s="88" t="s">
        <v>53</v>
      </c>
      <c r="B38" s="61">
        <v>1033</v>
      </c>
      <c r="C38" s="75">
        <v>0</v>
      </c>
      <c r="D38" s="76">
        <v>0</v>
      </c>
      <c r="E38" s="78">
        <v>0</v>
      </c>
      <c r="F38" s="86">
        <f t="shared" si="3"/>
        <v>1033</v>
      </c>
      <c r="G38" s="78">
        <v>0</v>
      </c>
      <c r="H38" s="86">
        <v>0</v>
      </c>
      <c r="I38" s="78">
        <v>0</v>
      </c>
      <c r="J38" s="78"/>
      <c r="K38" s="78"/>
      <c r="L38" s="87">
        <v>0</v>
      </c>
      <c r="M38" s="76">
        <f t="shared" si="2"/>
        <v>0</v>
      </c>
      <c r="N38" s="78">
        <f t="shared" si="0"/>
        <v>0</v>
      </c>
      <c r="O38" s="78">
        <v>0</v>
      </c>
      <c r="P38" s="80"/>
    </row>
    <row r="39" spans="1:16" s="72" customFormat="1" ht="23.25">
      <c r="A39" s="88" t="s">
        <v>54</v>
      </c>
      <c r="B39" s="61">
        <v>1034</v>
      </c>
      <c r="C39" s="75">
        <v>1.3</v>
      </c>
      <c r="D39" s="76">
        <v>1.7</v>
      </c>
      <c r="E39" s="76">
        <v>2.3</v>
      </c>
      <c r="F39" s="86">
        <f t="shared" si="3"/>
        <v>1039.3</v>
      </c>
      <c r="G39" s="78">
        <v>0.7</v>
      </c>
      <c r="H39" s="86">
        <v>0</v>
      </c>
      <c r="I39" s="78">
        <v>0</v>
      </c>
      <c r="J39" s="78"/>
      <c r="K39" s="78"/>
      <c r="L39" s="87">
        <v>0</v>
      </c>
      <c r="M39" s="76">
        <f t="shared" si="2"/>
        <v>1.5999999999999999</v>
      </c>
      <c r="N39" s="78">
        <f t="shared" si="0"/>
        <v>1.5999999999999999</v>
      </c>
      <c r="O39" s="78">
        <v>0</v>
      </c>
      <c r="P39" s="80"/>
    </row>
    <row r="40" spans="1:16" s="72" customFormat="1" ht="23.25">
      <c r="A40" s="88" t="s">
        <v>55</v>
      </c>
      <c r="B40" s="61">
        <v>1035</v>
      </c>
      <c r="C40" s="75">
        <v>0</v>
      </c>
      <c r="D40" s="76">
        <v>0</v>
      </c>
      <c r="E40" s="78">
        <v>0</v>
      </c>
      <c r="F40" s="86">
        <f t="shared" si="3"/>
        <v>1035</v>
      </c>
      <c r="G40" s="78">
        <v>0</v>
      </c>
      <c r="H40" s="86">
        <v>0</v>
      </c>
      <c r="I40" s="78">
        <v>0</v>
      </c>
      <c r="J40" s="78"/>
      <c r="K40" s="78"/>
      <c r="L40" s="87">
        <v>0</v>
      </c>
      <c r="M40" s="76">
        <f t="shared" si="2"/>
        <v>0</v>
      </c>
      <c r="N40" s="78">
        <f t="shared" si="0"/>
        <v>0</v>
      </c>
      <c r="O40" s="78">
        <v>0</v>
      </c>
      <c r="P40" s="80"/>
    </row>
    <row r="41" spans="1:16" s="72" customFormat="1" ht="23.25">
      <c r="A41" s="81" t="s">
        <v>56</v>
      </c>
      <c r="B41" s="62">
        <v>1060</v>
      </c>
      <c r="C41" s="75">
        <v>0</v>
      </c>
      <c r="D41" s="76">
        <v>0</v>
      </c>
      <c r="E41" s="78">
        <v>0</v>
      </c>
      <c r="F41" s="86">
        <f t="shared" si="3"/>
        <v>1060</v>
      </c>
      <c r="G41" s="78">
        <v>0</v>
      </c>
      <c r="H41" s="86">
        <v>0</v>
      </c>
      <c r="I41" s="78">
        <v>0</v>
      </c>
      <c r="J41" s="78"/>
      <c r="K41" s="78"/>
      <c r="L41" s="87">
        <v>0</v>
      </c>
      <c r="M41" s="76">
        <f t="shared" si="2"/>
        <v>0</v>
      </c>
      <c r="N41" s="78">
        <f t="shared" si="0"/>
        <v>0</v>
      </c>
      <c r="O41" s="78">
        <v>0</v>
      </c>
      <c r="P41" s="80"/>
    </row>
    <row r="42" spans="1:16" s="92" customFormat="1" ht="23.25">
      <c r="A42" s="89" t="s">
        <v>57</v>
      </c>
      <c r="B42" s="90">
        <v>1070</v>
      </c>
      <c r="C42" s="75">
        <v>37302.7</v>
      </c>
      <c r="D42" s="76">
        <v>101969.1</v>
      </c>
      <c r="E42" s="76">
        <v>150052.5</v>
      </c>
      <c r="F42" s="77">
        <v>25907.9</v>
      </c>
      <c r="G42" s="78">
        <v>31345.2</v>
      </c>
      <c r="H42" s="77">
        <v>23438.2</v>
      </c>
      <c r="I42" s="78">
        <v>34451.3</v>
      </c>
      <c r="J42" s="78"/>
      <c r="K42" s="78">
        <v>34249.2</v>
      </c>
      <c r="L42" s="79">
        <v>45475.9</v>
      </c>
      <c r="M42" s="76">
        <f t="shared" si="2"/>
        <v>50006.8</v>
      </c>
      <c r="N42" s="78">
        <f t="shared" si="0"/>
        <v>4530.9000000000015</v>
      </c>
      <c r="O42" s="78">
        <f>M42/L42%</f>
        <v>109.9632992420161</v>
      </c>
      <c r="P42" s="91"/>
    </row>
    <row r="43" spans="1:16" s="72" customFormat="1" ht="23.25">
      <c r="A43" s="88" t="s">
        <v>58</v>
      </c>
      <c r="B43" s="61">
        <v>1071</v>
      </c>
      <c r="C43" s="75">
        <v>0</v>
      </c>
      <c r="D43" s="76">
        <v>0</v>
      </c>
      <c r="E43" s="78">
        <v>0</v>
      </c>
      <c r="F43" s="86">
        <f>B43+C43+D43+E43</f>
        <v>1071</v>
      </c>
      <c r="G43" s="78">
        <v>0</v>
      </c>
      <c r="H43" s="86">
        <v>0</v>
      </c>
      <c r="I43" s="78">
        <v>0</v>
      </c>
      <c r="J43" s="78"/>
      <c r="K43" s="78"/>
      <c r="L43" s="87">
        <v>0</v>
      </c>
      <c r="M43" s="76">
        <f t="shared" si="2"/>
        <v>0</v>
      </c>
      <c r="N43" s="78">
        <f t="shared" si="0"/>
        <v>0</v>
      </c>
      <c r="O43" s="78">
        <v>0</v>
      </c>
      <c r="P43" s="80"/>
    </row>
    <row r="44" spans="1:16" s="72" customFormat="1" ht="23.25">
      <c r="A44" s="88" t="s">
        <v>59</v>
      </c>
      <c r="B44" s="61">
        <v>1072</v>
      </c>
      <c r="C44" s="75">
        <v>0</v>
      </c>
      <c r="D44" s="76">
        <v>0</v>
      </c>
      <c r="E44" s="78">
        <v>0</v>
      </c>
      <c r="F44" s="86">
        <f>B44+C44+D44+E44</f>
        <v>1072</v>
      </c>
      <c r="G44" s="78">
        <v>0</v>
      </c>
      <c r="H44" s="86">
        <v>0</v>
      </c>
      <c r="I44" s="78">
        <v>0</v>
      </c>
      <c r="J44" s="78"/>
      <c r="K44" s="78"/>
      <c r="L44" s="87">
        <v>0</v>
      </c>
      <c r="M44" s="76">
        <f t="shared" si="2"/>
        <v>0</v>
      </c>
      <c r="N44" s="78">
        <f t="shared" si="0"/>
        <v>0</v>
      </c>
      <c r="O44" s="78">
        <v>0</v>
      </c>
      <c r="P44" s="80"/>
    </row>
    <row r="45" spans="1:16" s="72" customFormat="1" ht="23.25">
      <c r="A45" s="93" t="s">
        <v>60</v>
      </c>
      <c r="B45" s="61">
        <v>1080</v>
      </c>
      <c r="C45" s="75">
        <v>1883.1</v>
      </c>
      <c r="D45" s="76">
        <v>2461.8</v>
      </c>
      <c r="E45" s="76">
        <v>5835.6</v>
      </c>
      <c r="F45" s="86">
        <f>B45+C45+D45+E45</f>
        <v>11260.5</v>
      </c>
      <c r="G45" s="78">
        <v>1011.5</v>
      </c>
      <c r="H45" s="86">
        <v>410.3</v>
      </c>
      <c r="I45" s="78">
        <v>1115.4</v>
      </c>
      <c r="J45" s="78"/>
      <c r="K45" s="78">
        <v>1586</v>
      </c>
      <c r="L45" s="79">
        <v>1848.7</v>
      </c>
      <c r="M45" s="76">
        <f t="shared" si="2"/>
        <v>2122.7000000000003</v>
      </c>
      <c r="N45" s="78">
        <f t="shared" si="0"/>
        <v>274.0000000000002</v>
      </c>
      <c r="O45" s="78">
        <v>0</v>
      </c>
      <c r="P45" s="80"/>
    </row>
    <row r="46" spans="1:16" s="72" customFormat="1" ht="23.25">
      <c r="A46" s="88" t="s">
        <v>58</v>
      </c>
      <c r="B46" s="61">
        <v>1081</v>
      </c>
      <c r="C46" s="75">
        <v>0</v>
      </c>
      <c r="D46" s="76">
        <v>0</v>
      </c>
      <c r="E46" s="78">
        <v>0</v>
      </c>
      <c r="F46" s="86">
        <f>B46+C46+D46+E46</f>
        <v>1081</v>
      </c>
      <c r="G46" s="78">
        <v>0</v>
      </c>
      <c r="H46" s="86">
        <v>0</v>
      </c>
      <c r="I46" s="78">
        <v>0</v>
      </c>
      <c r="J46" s="78"/>
      <c r="K46" s="78"/>
      <c r="L46" s="87">
        <v>0</v>
      </c>
      <c r="M46" s="76">
        <f t="shared" si="2"/>
        <v>0</v>
      </c>
      <c r="N46" s="78">
        <f t="shared" si="0"/>
        <v>0</v>
      </c>
      <c r="O46" s="78">
        <v>0</v>
      </c>
      <c r="P46" s="80"/>
    </row>
    <row r="47" spans="1:16" s="72" customFormat="1" ht="23.25">
      <c r="A47" s="88" t="s">
        <v>61</v>
      </c>
      <c r="B47" s="61">
        <v>1082</v>
      </c>
      <c r="C47" s="75">
        <v>0</v>
      </c>
      <c r="D47" s="76">
        <v>0</v>
      </c>
      <c r="E47" s="78">
        <v>0</v>
      </c>
      <c r="F47" s="86">
        <f>B47+C47+D47+E47</f>
        <v>1082</v>
      </c>
      <c r="G47" s="78">
        <v>0</v>
      </c>
      <c r="H47" s="86">
        <v>0</v>
      </c>
      <c r="I47" s="78">
        <v>0</v>
      </c>
      <c r="J47" s="78"/>
      <c r="K47" s="78"/>
      <c r="L47" s="87">
        <v>0</v>
      </c>
      <c r="M47" s="76">
        <f t="shared" si="2"/>
        <v>0</v>
      </c>
      <c r="N47" s="78">
        <f t="shared" si="0"/>
        <v>0</v>
      </c>
      <c r="O47" s="78">
        <v>0</v>
      </c>
      <c r="P47" s="80"/>
    </row>
    <row r="48" spans="1:16" s="72" customFormat="1" ht="45">
      <c r="A48" s="94" t="s">
        <v>62</v>
      </c>
      <c r="B48" s="62">
        <v>1100</v>
      </c>
      <c r="C48" s="83">
        <f aca="true" t="shared" si="4" ref="C48:M48">C42+C34-C35-C41-C45</f>
        <v>-6835.800000000003</v>
      </c>
      <c r="D48" s="84">
        <f t="shared" si="4"/>
        <v>-15415.799999999996</v>
      </c>
      <c r="E48" s="85">
        <f t="shared" si="4"/>
        <v>-24722.29999999998</v>
      </c>
      <c r="F48" s="85">
        <f t="shared" si="4"/>
        <v>16769.800000000003</v>
      </c>
      <c r="G48" s="85">
        <f t="shared" si="4"/>
        <v>-6690.800000000001</v>
      </c>
      <c r="H48" s="85">
        <f t="shared" si="4"/>
        <v>-499.9999999999978</v>
      </c>
      <c r="I48" s="85">
        <f t="shared" si="4"/>
        <v>-1975.2999999999956</v>
      </c>
      <c r="J48" s="85">
        <f t="shared" si="4"/>
        <v>0</v>
      </c>
      <c r="K48" s="85">
        <f t="shared" si="4"/>
        <v>-14061.9</v>
      </c>
      <c r="L48" s="84">
        <f t="shared" si="4"/>
        <v>-1932.2999999999972</v>
      </c>
      <c r="M48" s="84">
        <f t="shared" si="4"/>
        <v>-1994.299999999997</v>
      </c>
      <c r="N48" s="78">
        <f t="shared" si="0"/>
        <v>-61.99999999999977</v>
      </c>
      <c r="O48" s="78">
        <v>0</v>
      </c>
      <c r="P48" s="80"/>
    </row>
    <row r="49" spans="1:16" s="72" customFormat="1" ht="23.25">
      <c r="A49" s="95" t="s">
        <v>63</v>
      </c>
      <c r="B49" s="62">
        <v>1310</v>
      </c>
      <c r="C49" s="83">
        <v>0</v>
      </c>
      <c r="D49" s="84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/>
      <c r="K49" s="85"/>
      <c r="L49" s="84">
        <v>0</v>
      </c>
      <c r="M49" s="76">
        <f aca="true" t="shared" si="5" ref="M49:M58">E49-G49-I49-K49</f>
        <v>0</v>
      </c>
      <c r="N49" s="78">
        <f t="shared" si="0"/>
        <v>0</v>
      </c>
      <c r="O49" s="78">
        <v>0</v>
      </c>
      <c r="P49" s="80"/>
    </row>
    <row r="50" spans="1:16" s="72" customFormat="1" ht="23.25">
      <c r="A50" s="95" t="s">
        <v>64</v>
      </c>
      <c r="B50" s="62">
        <v>5010</v>
      </c>
      <c r="C50" s="83">
        <v>0</v>
      </c>
      <c r="D50" s="84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/>
      <c r="K50" s="85"/>
      <c r="L50" s="84">
        <v>0</v>
      </c>
      <c r="M50" s="76">
        <f t="shared" si="5"/>
        <v>0</v>
      </c>
      <c r="N50" s="78">
        <f t="shared" si="0"/>
        <v>0</v>
      </c>
      <c r="O50" s="78">
        <v>0</v>
      </c>
      <c r="P50" s="80"/>
    </row>
    <row r="51" spans="1:16" s="72" customFormat="1" ht="23.25">
      <c r="A51" s="88" t="s">
        <v>65</v>
      </c>
      <c r="B51" s="61">
        <v>1110</v>
      </c>
      <c r="C51" s="75">
        <v>0</v>
      </c>
      <c r="D51" s="76">
        <v>0</v>
      </c>
      <c r="E51" s="78">
        <v>0</v>
      </c>
      <c r="F51" s="86">
        <f aca="true" t="shared" si="6" ref="F51:F58">B51+C51+D51+E51</f>
        <v>1110</v>
      </c>
      <c r="G51" s="78">
        <v>0</v>
      </c>
      <c r="H51" s="86">
        <v>0</v>
      </c>
      <c r="I51" s="78">
        <v>0</v>
      </c>
      <c r="J51" s="78"/>
      <c r="K51" s="78"/>
      <c r="L51" s="87">
        <v>0</v>
      </c>
      <c r="M51" s="76">
        <f t="shared" si="5"/>
        <v>0</v>
      </c>
      <c r="N51" s="78">
        <f t="shared" si="0"/>
        <v>0</v>
      </c>
      <c r="O51" s="78">
        <v>0</v>
      </c>
      <c r="P51" s="80"/>
    </row>
    <row r="52" spans="1:16" s="72" customFormat="1" ht="23.25">
      <c r="A52" s="88" t="s">
        <v>66</v>
      </c>
      <c r="B52" s="61">
        <v>1120</v>
      </c>
      <c r="C52" s="75">
        <v>0</v>
      </c>
      <c r="D52" s="76">
        <v>0</v>
      </c>
      <c r="E52" s="78">
        <v>0</v>
      </c>
      <c r="F52" s="86">
        <f t="shared" si="6"/>
        <v>1120</v>
      </c>
      <c r="G52" s="78">
        <v>0</v>
      </c>
      <c r="H52" s="86">
        <v>0</v>
      </c>
      <c r="I52" s="78">
        <v>0</v>
      </c>
      <c r="J52" s="78"/>
      <c r="K52" s="78"/>
      <c r="L52" s="87">
        <v>0</v>
      </c>
      <c r="M52" s="76">
        <f t="shared" si="5"/>
        <v>0</v>
      </c>
      <c r="N52" s="78">
        <f t="shared" si="0"/>
        <v>0</v>
      </c>
      <c r="O52" s="78">
        <v>0</v>
      </c>
      <c r="P52" s="80"/>
    </row>
    <row r="53" spans="1:16" s="72" customFormat="1" ht="23.25">
      <c r="A53" s="88" t="s">
        <v>67</v>
      </c>
      <c r="B53" s="61">
        <v>1130</v>
      </c>
      <c r="C53" s="75">
        <v>0</v>
      </c>
      <c r="D53" s="76">
        <v>0.8</v>
      </c>
      <c r="E53" s="76">
        <v>51.1</v>
      </c>
      <c r="F53" s="86">
        <f t="shared" si="6"/>
        <v>1181.8999999999999</v>
      </c>
      <c r="G53" s="78">
        <v>1</v>
      </c>
      <c r="H53" s="86">
        <v>0</v>
      </c>
      <c r="I53" s="78">
        <v>9.6</v>
      </c>
      <c r="J53" s="78"/>
      <c r="K53" s="78">
        <v>9.4</v>
      </c>
      <c r="L53" s="87">
        <v>0</v>
      </c>
      <c r="M53" s="76">
        <f t="shared" si="5"/>
        <v>31.1</v>
      </c>
      <c r="N53" s="78">
        <f t="shared" si="0"/>
        <v>31.1</v>
      </c>
      <c r="O53" s="78">
        <v>0</v>
      </c>
      <c r="P53" s="80"/>
    </row>
    <row r="54" spans="1:16" s="72" customFormat="1" ht="23.25">
      <c r="A54" s="88" t="s">
        <v>68</v>
      </c>
      <c r="B54" s="61">
        <v>1140</v>
      </c>
      <c r="C54" s="75">
        <v>20.7</v>
      </c>
      <c r="D54" s="76">
        <v>0</v>
      </c>
      <c r="E54" s="76">
        <v>1900.6</v>
      </c>
      <c r="F54" s="86">
        <f t="shared" si="6"/>
        <v>3061.3</v>
      </c>
      <c r="G54" s="78">
        <v>0</v>
      </c>
      <c r="H54" s="86">
        <v>0</v>
      </c>
      <c r="I54" s="78">
        <v>0</v>
      </c>
      <c r="J54" s="78"/>
      <c r="K54" s="78">
        <v>747.1</v>
      </c>
      <c r="L54" s="87">
        <v>1900.6</v>
      </c>
      <c r="M54" s="76">
        <f t="shared" si="5"/>
        <v>1153.5</v>
      </c>
      <c r="N54" s="78">
        <f t="shared" si="0"/>
        <v>-747.0999999999999</v>
      </c>
      <c r="O54" s="78">
        <v>0</v>
      </c>
      <c r="P54" s="80"/>
    </row>
    <row r="55" spans="1:16" s="72" customFormat="1" ht="23.25">
      <c r="A55" s="88" t="s">
        <v>69</v>
      </c>
      <c r="B55" s="61">
        <v>1150</v>
      </c>
      <c r="C55" s="75">
        <v>481.5</v>
      </c>
      <c r="D55" s="76">
        <v>1634.2</v>
      </c>
      <c r="E55" s="76">
        <v>4164.5</v>
      </c>
      <c r="F55" s="86">
        <f t="shared" si="6"/>
        <v>7430.2</v>
      </c>
      <c r="G55" s="78">
        <v>976.6</v>
      </c>
      <c r="H55" s="86">
        <v>500</v>
      </c>
      <c r="I55" s="78">
        <v>1021.4</v>
      </c>
      <c r="J55" s="78"/>
      <c r="K55" s="78">
        <v>1045.5</v>
      </c>
      <c r="L55" s="87">
        <v>1000</v>
      </c>
      <c r="M55" s="76">
        <f t="shared" si="5"/>
        <v>1121</v>
      </c>
      <c r="N55" s="78">
        <f t="shared" si="0"/>
        <v>121</v>
      </c>
      <c r="O55" s="78">
        <f>M55/L55%</f>
        <v>112.1</v>
      </c>
      <c r="P55" s="80"/>
    </row>
    <row r="56" spans="1:16" s="72" customFormat="1" ht="23.25">
      <c r="A56" s="88" t="s">
        <v>58</v>
      </c>
      <c r="B56" s="61">
        <v>1151</v>
      </c>
      <c r="C56" s="75">
        <v>0</v>
      </c>
      <c r="D56" s="76">
        <v>0</v>
      </c>
      <c r="E56" s="78">
        <v>0</v>
      </c>
      <c r="F56" s="86">
        <f t="shared" si="6"/>
        <v>1151</v>
      </c>
      <c r="G56" s="78">
        <v>0</v>
      </c>
      <c r="H56" s="86">
        <v>0</v>
      </c>
      <c r="I56" s="78">
        <v>0</v>
      </c>
      <c r="J56" s="78"/>
      <c r="K56" s="78"/>
      <c r="L56" s="87">
        <v>0</v>
      </c>
      <c r="M56" s="76">
        <f t="shared" si="5"/>
        <v>0</v>
      </c>
      <c r="N56" s="78">
        <f t="shared" si="0"/>
        <v>0</v>
      </c>
      <c r="O56" s="78">
        <v>0</v>
      </c>
      <c r="P56" s="80"/>
    </row>
    <row r="57" spans="1:16" s="72" customFormat="1" ht="23.25">
      <c r="A57" s="88" t="s">
        <v>70</v>
      </c>
      <c r="B57" s="61">
        <v>1160</v>
      </c>
      <c r="C57" s="75">
        <v>0</v>
      </c>
      <c r="D57" s="76">
        <v>58.5</v>
      </c>
      <c r="E57" s="78">
        <v>0</v>
      </c>
      <c r="F57" s="86">
        <f t="shared" si="6"/>
        <v>1218.5</v>
      </c>
      <c r="G57" s="78">
        <v>0</v>
      </c>
      <c r="H57" s="86">
        <v>0</v>
      </c>
      <c r="I57" s="78">
        <v>0</v>
      </c>
      <c r="J57" s="78"/>
      <c r="K57" s="78"/>
      <c r="L57" s="87">
        <v>0</v>
      </c>
      <c r="M57" s="76">
        <f t="shared" si="5"/>
        <v>0</v>
      </c>
      <c r="N57" s="78">
        <f t="shared" si="0"/>
        <v>0</v>
      </c>
      <c r="O57" s="78">
        <v>0</v>
      </c>
      <c r="P57" s="80"/>
    </row>
    <row r="58" spans="1:16" s="72" customFormat="1" ht="23.25">
      <c r="A58" s="88" t="s">
        <v>58</v>
      </c>
      <c r="B58" s="61">
        <v>1161</v>
      </c>
      <c r="C58" s="75">
        <v>0</v>
      </c>
      <c r="D58" s="76">
        <v>0</v>
      </c>
      <c r="E58" s="78">
        <v>0</v>
      </c>
      <c r="F58" s="86">
        <f t="shared" si="6"/>
        <v>1161</v>
      </c>
      <c r="G58" s="78">
        <v>0</v>
      </c>
      <c r="H58" s="86">
        <v>0</v>
      </c>
      <c r="I58" s="78">
        <v>0</v>
      </c>
      <c r="J58" s="78"/>
      <c r="K58" s="78"/>
      <c r="L58" s="87">
        <v>0</v>
      </c>
      <c r="M58" s="76">
        <f t="shared" si="5"/>
        <v>0</v>
      </c>
      <c r="N58" s="78">
        <f t="shared" si="0"/>
        <v>0</v>
      </c>
      <c r="O58" s="78">
        <v>0</v>
      </c>
      <c r="P58" s="80"/>
    </row>
    <row r="59" spans="1:16" s="72" customFormat="1" ht="23.25">
      <c r="A59" s="95" t="s">
        <v>71</v>
      </c>
      <c r="B59" s="96">
        <v>1170</v>
      </c>
      <c r="C59" s="83">
        <f>(C48-C54-C57)-(-C55)</f>
        <v>-6375.000000000003</v>
      </c>
      <c r="D59" s="84">
        <f>(D48+D53-D54-D57)-(-D55)</f>
        <v>-13839.299999999996</v>
      </c>
      <c r="E59" s="84">
        <f>(E48-E54-E57)-(-E55)-(-E53)</f>
        <v>-22407.29999999998</v>
      </c>
      <c r="F59" s="85">
        <f>(F48-F54-F57)-(-F55)</f>
        <v>19920.200000000004</v>
      </c>
      <c r="G59" s="85">
        <f>(G48-G54-G57)-(-G55)+G53</f>
        <v>-5713.200000000001</v>
      </c>
      <c r="H59" s="85">
        <f aca="true" t="shared" si="7" ref="H59:M59">(H48-H54-H57)-(-H55)-(-H53)</f>
        <v>2.2168933355715126E-12</v>
      </c>
      <c r="I59" s="85">
        <f t="shared" si="7"/>
        <v>-944.2999999999956</v>
      </c>
      <c r="J59" s="85">
        <f t="shared" si="7"/>
        <v>0</v>
      </c>
      <c r="K59" s="85">
        <f t="shared" si="7"/>
        <v>-13754.1</v>
      </c>
      <c r="L59" s="84">
        <f t="shared" si="7"/>
        <v>-2832.899999999997</v>
      </c>
      <c r="M59" s="84">
        <f t="shared" si="7"/>
        <v>-1995.699999999997</v>
      </c>
      <c r="N59" s="78">
        <f t="shared" si="0"/>
        <v>837.1999999999998</v>
      </c>
      <c r="O59" s="78">
        <v>0</v>
      </c>
      <c r="P59" s="80"/>
    </row>
    <row r="60" spans="1:16" s="72" customFormat="1" ht="23.25">
      <c r="A60" s="88" t="s">
        <v>72</v>
      </c>
      <c r="B60" s="62">
        <v>1180</v>
      </c>
      <c r="C60" s="75">
        <v>281.7</v>
      </c>
      <c r="D60" s="76">
        <v>0</v>
      </c>
      <c r="E60" s="78">
        <v>0</v>
      </c>
      <c r="F60" s="86">
        <f>B60+C60+D60+E60</f>
        <v>1461.7</v>
      </c>
      <c r="G60" s="78">
        <v>0</v>
      </c>
      <c r="H60" s="86">
        <v>0</v>
      </c>
      <c r="I60" s="78">
        <v>0</v>
      </c>
      <c r="J60" s="78"/>
      <c r="K60" s="78"/>
      <c r="L60" s="87">
        <v>0</v>
      </c>
      <c r="M60" s="76">
        <f>E60-G60-I60-K60</f>
        <v>0</v>
      </c>
      <c r="N60" s="78">
        <f t="shared" si="0"/>
        <v>0</v>
      </c>
      <c r="O60" s="78">
        <v>0</v>
      </c>
      <c r="P60" s="80"/>
    </row>
    <row r="61" spans="1:16" s="72" customFormat="1" ht="23.25">
      <c r="A61" s="88" t="s">
        <v>73</v>
      </c>
      <c r="B61" s="62">
        <v>1181</v>
      </c>
      <c r="C61" s="75">
        <v>0</v>
      </c>
      <c r="D61" s="76">
        <v>0</v>
      </c>
      <c r="E61" s="78">
        <v>0</v>
      </c>
      <c r="F61" s="86">
        <f>B61+C61+D61+E61</f>
        <v>1181</v>
      </c>
      <c r="G61" s="78">
        <v>0</v>
      </c>
      <c r="H61" s="86">
        <v>0</v>
      </c>
      <c r="I61" s="78">
        <v>0</v>
      </c>
      <c r="J61" s="78"/>
      <c r="K61" s="78"/>
      <c r="L61" s="87">
        <v>0</v>
      </c>
      <c r="M61" s="76">
        <f>E61-G61-I61-K61</f>
        <v>0</v>
      </c>
      <c r="N61" s="78">
        <f t="shared" si="0"/>
        <v>0</v>
      </c>
      <c r="O61" s="78">
        <v>0</v>
      </c>
      <c r="P61" s="80"/>
    </row>
    <row r="62" spans="1:16" s="72" customFormat="1" ht="46.5">
      <c r="A62" s="88" t="s">
        <v>74</v>
      </c>
      <c r="B62" s="61">
        <v>1190</v>
      </c>
      <c r="C62" s="75">
        <v>0</v>
      </c>
      <c r="D62" s="76">
        <v>0</v>
      </c>
      <c r="E62" s="78">
        <v>0</v>
      </c>
      <c r="F62" s="86">
        <f>B62+C62+D62+E62</f>
        <v>1190</v>
      </c>
      <c r="G62" s="78">
        <v>0</v>
      </c>
      <c r="H62" s="86">
        <v>0</v>
      </c>
      <c r="I62" s="78">
        <v>0</v>
      </c>
      <c r="J62" s="78"/>
      <c r="K62" s="78"/>
      <c r="L62" s="87">
        <v>0</v>
      </c>
      <c r="M62" s="76">
        <f>E62-G62-I62-K62</f>
        <v>0</v>
      </c>
      <c r="N62" s="78">
        <f t="shared" si="0"/>
        <v>0</v>
      </c>
      <c r="O62" s="78">
        <v>0</v>
      </c>
      <c r="P62" s="80"/>
    </row>
    <row r="63" spans="1:16" s="72" customFormat="1" ht="46.5">
      <c r="A63" s="88" t="s">
        <v>75</v>
      </c>
      <c r="B63" s="61">
        <v>1191</v>
      </c>
      <c r="C63" s="75">
        <v>0</v>
      </c>
      <c r="D63" s="76">
        <v>0</v>
      </c>
      <c r="E63" s="78">
        <v>0</v>
      </c>
      <c r="F63" s="86">
        <f>B63+C63+D63+E63</f>
        <v>1191</v>
      </c>
      <c r="G63" s="78">
        <v>0</v>
      </c>
      <c r="H63" s="86">
        <v>0</v>
      </c>
      <c r="I63" s="78">
        <v>0</v>
      </c>
      <c r="J63" s="78"/>
      <c r="K63" s="78"/>
      <c r="L63" s="87">
        <v>0</v>
      </c>
      <c r="M63" s="76">
        <f>E63-G63-I63-K63</f>
        <v>0</v>
      </c>
      <c r="N63" s="78">
        <f t="shared" si="0"/>
        <v>0</v>
      </c>
      <c r="O63" s="78">
        <v>0</v>
      </c>
      <c r="P63" s="80"/>
    </row>
    <row r="64" spans="1:16" s="72" customFormat="1" ht="23.25">
      <c r="A64" s="94" t="s">
        <v>76</v>
      </c>
      <c r="B64" s="61">
        <v>1200</v>
      </c>
      <c r="C64" s="83">
        <f>C59-C60+C61+C62+C63</f>
        <v>-6656.700000000003</v>
      </c>
      <c r="D64" s="84">
        <f>D59-D60+D61+D62+D63</f>
        <v>-13839.299999999996</v>
      </c>
      <c r="E64" s="85">
        <f>E59-E60+E61+E62+E63</f>
        <v>-22407.29999999998</v>
      </c>
      <c r="F64" s="85">
        <f>SUM(F59:F63)</f>
        <v>24943.900000000005</v>
      </c>
      <c r="G64" s="85">
        <f aca="true" t="shared" si="8" ref="G64:M64">G59-G60+G61+G62+G63</f>
        <v>-5713.200000000001</v>
      </c>
      <c r="H64" s="85">
        <f t="shared" si="8"/>
        <v>2.2168933355715126E-12</v>
      </c>
      <c r="I64" s="85">
        <f t="shared" si="8"/>
        <v>-944.2999999999956</v>
      </c>
      <c r="J64" s="85">
        <f t="shared" si="8"/>
        <v>0</v>
      </c>
      <c r="K64" s="85">
        <f t="shared" si="8"/>
        <v>-13754.1</v>
      </c>
      <c r="L64" s="84">
        <f t="shared" si="8"/>
        <v>-2832.899999999997</v>
      </c>
      <c r="M64" s="84">
        <f t="shared" si="8"/>
        <v>-1995.699999999997</v>
      </c>
      <c r="N64" s="78">
        <f t="shared" si="0"/>
        <v>837.1999999999998</v>
      </c>
      <c r="O64" s="78">
        <v>0</v>
      </c>
      <c r="P64" s="80"/>
    </row>
    <row r="65" spans="1:16" s="72" customFormat="1" ht="23.25">
      <c r="A65" s="88" t="s">
        <v>77</v>
      </c>
      <c r="B65" s="61">
        <v>1201</v>
      </c>
      <c r="C65" s="75">
        <v>0</v>
      </c>
      <c r="D65" s="76">
        <v>0</v>
      </c>
      <c r="E65" s="78">
        <v>0</v>
      </c>
      <c r="F65" s="86">
        <f>B65+C65+D65+E65</f>
        <v>1201</v>
      </c>
      <c r="G65" s="78">
        <v>0</v>
      </c>
      <c r="H65" s="86">
        <v>0</v>
      </c>
      <c r="I65" s="78">
        <v>0</v>
      </c>
      <c r="J65" s="78"/>
      <c r="K65" s="78"/>
      <c r="L65" s="87">
        <v>0</v>
      </c>
      <c r="M65" s="76">
        <f>E65-G65-I65-K65</f>
        <v>0</v>
      </c>
      <c r="N65" s="78">
        <f t="shared" si="0"/>
        <v>0</v>
      </c>
      <c r="O65" s="78">
        <v>0</v>
      </c>
      <c r="P65" s="80"/>
    </row>
    <row r="66" spans="1:16" s="72" customFormat="1" ht="23.25">
      <c r="A66" s="88" t="s">
        <v>78</v>
      </c>
      <c r="B66" s="61">
        <v>1202</v>
      </c>
      <c r="C66" s="75">
        <f>-(C64)</f>
        <v>6656.700000000003</v>
      </c>
      <c r="D66" s="76">
        <f>-(D64)</f>
        <v>13839.299999999996</v>
      </c>
      <c r="E66" s="78">
        <f>-(E64)</f>
        <v>22407.29999999998</v>
      </c>
      <c r="F66" s="86">
        <f>B66+C66+D66+E66</f>
        <v>44105.29999999998</v>
      </c>
      <c r="G66" s="78">
        <f>-(G64)</f>
        <v>5713.200000000001</v>
      </c>
      <c r="H66" s="78">
        <f>-(H64)</f>
        <v>-2.2168933355715126E-12</v>
      </c>
      <c r="I66" s="78">
        <f>-(I64)</f>
        <v>944.2999999999956</v>
      </c>
      <c r="J66" s="78"/>
      <c r="K66" s="78">
        <f>-(K64)</f>
        <v>13754.1</v>
      </c>
      <c r="L66" s="76">
        <f>-(L64)</f>
        <v>2832.899999999997</v>
      </c>
      <c r="M66" s="76">
        <f>M64</f>
        <v>-1995.699999999997</v>
      </c>
      <c r="N66" s="78">
        <f t="shared" si="0"/>
        <v>-4828.599999999994</v>
      </c>
      <c r="O66" s="78">
        <v>0</v>
      </c>
      <c r="P66" s="80"/>
    </row>
    <row r="67" spans="1:16" s="72" customFormat="1" ht="23.25">
      <c r="A67" s="94" t="s">
        <v>79</v>
      </c>
      <c r="B67" s="61">
        <v>1210</v>
      </c>
      <c r="C67" s="83">
        <f>SUM(C31,C42,C51,C53,C55,C61,C62)</f>
        <v>42882</v>
      </c>
      <c r="D67" s="84">
        <f>SUM(D31,D42,D51,D53,D55,D61,D62)</f>
        <v>116904.90000000001</v>
      </c>
      <c r="E67" s="85">
        <f>SUM(E31,E42,E51,E53,E55,E61,E62)</f>
        <v>171671.30000000002</v>
      </c>
      <c r="F67" s="85">
        <f>SUM(B31,F42,F51,F53,F55,F61,F62)</f>
        <v>39001</v>
      </c>
      <c r="G67" s="85">
        <f>SUM(G31,G42,G51,G53,G55,G61,G62)</f>
        <v>36317.299999999996</v>
      </c>
      <c r="H67" s="85">
        <f aca="true" t="shared" si="9" ref="H67:M67">SUM(H31,H32,H42,H51,H53,H55,H61,H62)</f>
        <v>29395.4</v>
      </c>
      <c r="I67" s="85">
        <f t="shared" si="9"/>
        <v>39906.9</v>
      </c>
      <c r="J67" s="85">
        <f t="shared" si="9"/>
        <v>0</v>
      </c>
      <c r="K67" s="85">
        <f t="shared" si="9"/>
        <v>39520.5</v>
      </c>
      <c r="L67" s="84">
        <f t="shared" si="9"/>
        <v>51193.8</v>
      </c>
      <c r="M67" s="84">
        <f t="shared" si="9"/>
        <v>55926.6</v>
      </c>
      <c r="N67" s="78">
        <f t="shared" si="0"/>
        <v>4732.799999999996</v>
      </c>
      <c r="O67" s="78">
        <f>M67/L67%</f>
        <v>109.24486949591551</v>
      </c>
      <c r="P67" s="80"/>
    </row>
    <row r="68" spans="1:16" s="72" customFormat="1" ht="23.25">
      <c r="A68" s="94" t="s">
        <v>80</v>
      </c>
      <c r="B68" s="61">
        <v>1220</v>
      </c>
      <c r="C68" s="83">
        <f>SUM(C33,C35,C41,C45,C52,C54,C57,C60,C63)</f>
        <v>49538.7</v>
      </c>
      <c r="D68" s="84">
        <f>SUM(D33,D35,D41,D45,D52,D54,D57,D60,D63)</f>
        <v>130744.20000000001</v>
      </c>
      <c r="E68" s="85">
        <f>SUM(E33,E35,E41,E45,E52,E54,E57,E60,E63)</f>
        <v>194078.6</v>
      </c>
      <c r="F68" s="85">
        <f>SUM(B32,B35,F41,F45,F52,F54,F57,F60,F63)</f>
        <v>21403</v>
      </c>
      <c r="G68" s="85">
        <f>SUM(G32,G35,G41,G45,G52,G54,G57,G60,G63)</f>
        <v>2449.6</v>
      </c>
      <c r="H68" s="85">
        <f aca="true" t="shared" si="10" ref="H68:M68">SUM(H33,H35,H41,H45,H52,H54,H57,H60,H63)</f>
        <v>29395.399999999998</v>
      </c>
      <c r="I68" s="85">
        <f t="shared" si="10"/>
        <v>40851.2</v>
      </c>
      <c r="J68" s="85">
        <f t="shared" si="10"/>
        <v>0</v>
      </c>
      <c r="K68" s="85">
        <f t="shared" si="10"/>
        <v>53274.6</v>
      </c>
      <c r="L68" s="84">
        <f t="shared" si="10"/>
        <v>54026.7</v>
      </c>
      <c r="M68" s="84">
        <f t="shared" si="10"/>
        <v>57922.3</v>
      </c>
      <c r="N68" s="78">
        <f t="shared" si="0"/>
        <v>3895.600000000006</v>
      </c>
      <c r="O68" s="78">
        <f>M68/L68%</f>
        <v>107.21050887801773</v>
      </c>
      <c r="P68" s="80"/>
    </row>
    <row r="69" spans="1:16" s="72" customFormat="1" ht="23.25">
      <c r="A69" s="88" t="s">
        <v>81</v>
      </c>
      <c r="B69" s="61">
        <v>1230</v>
      </c>
      <c r="C69" s="75">
        <v>0</v>
      </c>
      <c r="D69" s="78">
        <v>0</v>
      </c>
      <c r="E69" s="78">
        <v>0</v>
      </c>
      <c r="F69" s="86">
        <f>B69+C69+D69+E69</f>
        <v>1230</v>
      </c>
      <c r="G69" s="78">
        <v>0</v>
      </c>
      <c r="H69" s="86">
        <v>0</v>
      </c>
      <c r="I69" s="78">
        <v>0</v>
      </c>
      <c r="J69" s="78"/>
      <c r="K69" s="78"/>
      <c r="L69" s="87">
        <v>0</v>
      </c>
      <c r="M69" s="78">
        <f>E69-G69-I69-K69</f>
        <v>0</v>
      </c>
      <c r="N69" s="78">
        <f t="shared" si="0"/>
        <v>0</v>
      </c>
      <c r="O69" s="78">
        <v>0</v>
      </c>
      <c r="P69" s="80"/>
    </row>
    <row r="70" spans="1:16" s="72" customFormat="1" ht="23.25">
      <c r="A70" s="94" t="s">
        <v>82</v>
      </c>
      <c r="B70" s="61"/>
      <c r="C70" s="97"/>
      <c r="D70" s="98"/>
      <c r="E70" s="98"/>
      <c r="F70" s="98"/>
      <c r="G70" s="98"/>
      <c r="H70" s="98"/>
      <c r="I70" s="98"/>
      <c r="J70" s="98"/>
      <c r="K70" s="98"/>
      <c r="L70" s="99"/>
      <c r="M70" s="98"/>
      <c r="N70" s="78"/>
      <c r="O70" s="78"/>
      <c r="P70" s="80"/>
    </row>
    <row r="71" spans="1:16" s="72" customFormat="1" ht="23.25">
      <c r="A71" s="88" t="s">
        <v>83</v>
      </c>
      <c r="B71" s="61">
        <v>1400</v>
      </c>
      <c r="C71" s="75">
        <v>9682.7</v>
      </c>
      <c r="D71" s="76">
        <v>32141.1</v>
      </c>
      <c r="E71" s="76">
        <v>42076.3</v>
      </c>
      <c r="F71" s="77">
        <v>12054.2</v>
      </c>
      <c r="G71" s="78">
        <v>12299.4</v>
      </c>
      <c r="H71" s="77">
        <v>8218.6</v>
      </c>
      <c r="I71" s="78">
        <v>8571.6</v>
      </c>
      <c r="J71" s="78"/>
      <c r="K71" s="78">
        <v>8331.7</v>
      </c>
      <c r="L71" s="76">
        <f>L72+L73</f>
        <v>15111.9</v>
      </c>
      <c r="M71" s="76">
        <f aca="true" t="shared" si="11" ref="M71:M77">E71-G71-I71-K71</f>
        <v>12873.600000000002</v>
      </c>
      <c r="N71" s="78">
        <f aca="true" t="shared" si="12" ref="N71:N78">M71-L71</f>
        <v>-2238.2999999999975</v>
      </c>
      <c r="O71" s="78">
        <f aca="true" t="shared" si="13" ref="O71:O78">M71/L71%</f>
        <v>85.18849383598358</v>
      </c>
      <c r="P71" s="80"/>
    </row>
    <row r="72" spans="1:16" s="72" customFormat="1" ht="23.25">
      <c r="A72" s="88" t="s">
        <v>84</v>
      </c>
      <c r="B72" s="100">
        <v>1401</v>
      </c>
      <c r="C72" s="75">
        <v>2438.5</v>
      </c>
      <c r="D72" s="76">
        <f>1668.1+4516.8</f>
        <v>6184.9</v>
      </c>
      <c r="E72" s="76">
        <v>8353.3</v>
      </c>
      <c r="F72" s="86">
        <v>979.4</v>
      </c>
      <c r="G72" s="78">
        <v>1930.9</v>
      </c>
      <c r="H72" s="86">
        <v>1270.6</v>
      </c>
      <c r="I72" s="78">
        <v>2143.6</v>
      </c>
      <c r="J72" s="78"/>
      <c r="K72" s="78">
        <v>2109.1</v>
      </c>
      <c r="L72" s="87">
        <v>2236.5</v>
      </c>
      <c r="M72" s="76">
        <f t="shared" si="11"/>
        <v>2169.6999999999994</v>
      </c>
      <c r="N72" s="78">
        <f t="shared" si="12"/>
        <v>-66.80000000000064</v>
      </c>
      <c r="O72" s="78">
        <f t="shared" si="13"/>
        <v>97.01319025262686</v>
      </c>
      <c r="P72" s="80"/>
    </row>
    <row r="73" spans="1:16" s="72" customFormat="1" ht="23.25">
      <c r="A73" s="88" t="s">
        <v>85</v>
      </c>
      <c r="B73" s="100">
        <v>1402</v>
      </c>
      <c r="C73" s="75">
        <v>7139.8</v>
      </c>
      <c r="D73" s="76">
        <f>21673.3+3612</f>
        <v>25285.3</v>
      </c>
      <c r="E73" s="76">
        <v>33217.9</v>
      </c>
      <c r="F73" s="86">
        <v>11074.8</v>
      </c>
      <c r="G73" s="78">
        <v>10319.8</v>
      </c>
      <c r="H73" s="86">
        <v>6948</v>
      </c>
      <c r="I73" s="78">
        <v>6462</v>
      </c>
      <c r="J73" s="78"/>
      <c r="K73" s="78">
        <v>6237.3</v>
      </c>
      <c r="L73" s="87">
        <v>12875.4</v>
      </c>
      <c r="M73" s="76">
        <f t="shared" si="11"/>
        <v>10198.800000000003</v>
      </c>
      <c r="N73" s="78">
        <f t="shared" si="12"/>
        <v>-2676.5999999999967</v>
      </c>
      <c r="O73" s="78">
        <f t="shared" si="13"/>
        <v>79.21151964210823</v>
      </c>
      <c r="P73" s="80"/>
    </row>
    <row r="74" spans="1:16" s="72" customFormat="1" ht="32.25" customHeight="1">
      <c r="A74" s="88" t="s">
        <v>86</v>
      </c>
      <c r="B74" s="100">
        <v>1410</v>
      </c>
      <c r="C74" s="75">
        <v>23582.9</v>
      </c>
      <c r="D74" s="76">
        <v>53538.9</v>
      </c>
      <c r="E74" s="76">
        <v>82206.1</v>
      </c>
      <c r="F74" s="77">
        <v>17021.7</v>
      </c>
      <c r="G74" s="78">
        <v>17507.2</v>
      </c>
      <c r="H74" s="101">
        <v>14796.3</v>
      </c>
      <c r="I74" s="102">
        <v>18810.7</v>
      </c>
      <c r="J74" s="102"/>
      <c r="K74" s="78">
        <v>20773.9</v>
      </c>
      <c r="L74" s="87">
        <v>22264.7</v>
      </c>
      <c r="M74" s="76">
        <f t="shared" si="11"/>
        <v>25114.30000000001</v>
      </c>
      <c r="N74" s="78">
        <f t="shared" si="12"/>
        <v>2849.6000000000095</v>
      </c>
      <c r="O74" s="78">
        <f t="shared" si="13"/>
        <v>112.79873521763153</v>
      </c>
      <c r="P74" s="80"/>
    </row>
    <row r="75" spans="1:16" s="72" customFormat="1" ht="23.25">
      <c r="A75" s="88" t="s">
        <v>87</v>
      </c>
      <c r="B75" s="100">
        <v>1420</v>
      </c>
      <c r="C75" s="75">
        <v>5228.3</v>
      </c>
      <c r="D75" s="76">
        <v>12042</v>
      </c>
      <c r="E75" s="76">
        <v>18551.2</v>
      </c>
      <c r="F75" s="86">
        <v>3744.7</v>
      </c>
      <c r="G75" s="78">
        <v>3975.4</v>
      </c>
      <c r="H75" s="86">
        <v>3255.1</v>
      </c>
      <c r="I75" s="78">
        <v>4243.3</v>
      </c>
      <c r="J75" s="78"/>
      <c r="K75" s="78">
        <v>4663.5</v>
      </c>
      <c r="L75" s="87">
        <v>4898.3</v>
      </c>
      <c r="M75" s="76">
        <f t="shared" si="11"/>
        <v>5669</v>
      </c>
      <c r="N75" s="78">
        <f t="shared" si="12"/>
        <v>770.6999999999998</v>
      </c>
      <c r="O75" s="78">
        <f t="shared" si="13"/>
        <v>115.73403017373373</v>
      </c>
      <c r="P75" s="80"/>
    </row>
    <row r="76" spans="1:16" s="72" customFormat="1" ht="23.25">
      <c r="A76" s="88" t="s">
        <v>88</v>
      </c>
      <c r="B76" s="100">
        <v>1430</v>
      </c>
      <c r="C76" s="75">
        <v>3796.1</v>
      </c>
      <c r="D76" s="76">
        <v>10412.6</v>
      </c>
      <c r="E76" s="76">
        <v>19907.7</v>
      </c>
      <c r="F76" s="86">
        <v>2369.1</v>
      </c>
      <c r="G76" s="78">
        <v>4555</v>
      </c>
      <c r="H76" s="86">
        <v>2369.1</v>
      </c>
      <c r="I76" s="78">
        <v>4569.6</v>
      </c>
      <c r="J76" s="78"/>
      <c r="K76" s="78">
        <v>4943.5</v>
      </c>
      <c r="L76" s="87">
        <v>5915</v>
      </c>
      <c r="M76" s="76">
        <f t="shared" si="11"/>
        <v>5839.6</v>
      </c>
      <c r="N76" s="78">
        <f t="shared" si="12"/>
        <v>-75.39999999999964</v>
      </c>
      <c r="O76" s="78">
        <f t="shared" si="13"/>
        <v>98.72527472527473</v>
      </c>
      <c r="P76" s="80"/>
    </row>
    <row r="77" spans="1:16" s="72" customFormat="1" ht="23.25">
      <c r="A77" s="88" t="s">
        <v>89</v>
      </c>
      <c r="B77" s="100">
        <v>1440</v>
      </c>
      <c r="C77" s="75">
        <v>6946.3</v>
      </c>
      <c r="D77" s="76">
        <v>22164</v>
      </c>
      <c r="E77" s="76">
        <v>29436.7</v>
      </c>
      <c r="F77" s="86">
        <v>588.9</v>
      </c>
      <c r="G77" s="78">
        <v>3693.5</v>
      </c>
      <c r="H77" s="86">
        <v>756.3</v>
      </c>
      <c r="I77" s="78">
        <v>4656</v>
      </c>
      <c r="J77" s="78"/>
      <c r="K77" s="78">
        <v>13814.9</v>
      </c>
      <c r="L77" s="87">
        <v>3936.2</v>
      </c>
      <c r="M77" s="76">
        <f t="shared" si="11"/>
        <v>7272.300000000001</v>
      </c>
      <c r="N77" s="78">
        <f t="shared" si="12"/>
        <v>3336.1000000000013</v>
      </c>
      <c r="O77" s="78">
        <f t="shared" si="13"/>
        <v>184.7543315888421</v>
      </c>
      <c r="P77" s="80"/>
    </row>
    <row r="78" spans="1:16" s="72" customFormat="1" ht="23.25">
      <c r="A78" s="94" t="s">
        <v>90</v>
      </c>
      <c r="B78" s="61">
        <v>1450</v>
      </c>
      <c r="C78" s="83">
        <f aca="true" t="shared" si="14" ref="C78:M78">C71+C74+C75+C76+C77</f>
        <v>49236.30000000001</v>
      </c>
      <c r="D78" s="84">
        <f t="shared" si="14"/>
        <v>130298.6</v>
      </c>
      <c r="E78" s="84">
        <f t="shared" si="14"/>
        <v>192178.00000000003</v>
      </c>
      <c r="F78" s="85">
        <f t="shared" si="14"/>
        <v>35778.6</v>
      </c>
      <c r="G78" s="85">
        <f t="shared" si="14"/>
        <v>42030.5</v>
      </c>
      <c r="H78" s="85">
        <f t="shared" si="14"/>
        <v>29395.399999999998</v>
      </c>
      <c r="I78" s="85">
        <f t="shared" si="14"/>
        <v>40851.200000000004</v>
      </c>
      <c r="J78" s="85">
        <f t="shared" si="14"/>
        <v>0</v>
      </c>
      <c r="K78" s="85">
        <f t="shared" si="14"/>
        <v>52527.50000000001</v>
      </c>
      <c r="L78" s="84">
        <f t="shared" si="14"/>
        <v>52126.1</v>
      </c>
      <c r="M78" s="84">
        <f t="shared" si="14"/>
        <v>56768.80000000001</v>
      </c>
      <c r="N78" s="78">
        <f t="shared" si="12"/>
        <v>4642.700000000012</v>
      </c>
      <c r="O78" s="78">
        <f t="shared" si="13"/>
        <v>108.90667055467418</v>
      </c>
      <c r="P78" s="80"/>
    </row>
    <row r="79" spans="1:16" s="72" customFormat="1" ht="24" customHeight="1">
      <c r="A79" s="352" t="s">
        <v>91</v>
      </c>
      <c r="B79" s="352"/>
      <c r="C79" s="352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  <c r="P79" s="80"/>
    </row>
    <row r="80" spans="1:16" s="72" customFormat="1" ht="24" customHeight="1">
      <c r="A80" s="353" t="s">
        <v>92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80"/>
    </row>
    <row r="81" spans="1:16" s="72" customFormat="1" ht="69.75">
      <c r="A81" s="103" t="s">
        <v>93</v>
      </c>
      <c r="B81" s="104">
        <v>2000</v>
      </c>
      <c r="C81" s="75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/>
      <c r="K81" s="78"/>
      <c r="L81" s="76">
        <v>0</v>
      </c>
      <c r="M81" s="78">
        <v>0</v>
      </c>
      <c r="N81" s="78">
        <f aca="true" t="shared" si="15" ref="N81:N91">M81-L81</f>
        <v>0</v>
      </c>
      <c r="O81" s="78">
        <v>0</v>
      </c>
      <c r="P81" s="80"/>
    </row>
    <row r="82" spans="1:16" s="72" customFormat="1" ht="46.5">
      <c r="A82" s="105" t="s">
        <v>94</v>
      </c>
      <c r="B82" s="61">
        <v>2010</v>
      </c>
      <c r="C82" s="75">
        <v>0</v>
      </c>
      <c r="D82" s="78">
        <v>0</v>
      </c>
      <c r="E82" s="78">
        <v>0</v>
      </c>
      <c r="F82" s="77">
        <v>0</v>
      </c>
      <c r="G82" s="78">
        <v>0</v>
      </c>
      <c r="H82" s="77">
        <v>0</v>
      </c>
      <c r="I82" s="78">
        <v>0</v>
      </c>
      <c r="J82" s="78"/>
      <c r="K82" s="78"/>
      <c r="L82" s="79">
        <v>0</v>
      </c>
      <c r="M82" s="78">
        <v>0</v>
      </c>
      <c r="N82" s="78">
        <f t="shared" si="15"/>
        <v>0</v>
      </c>
      <c r="O82" s="78">
        <v>0</v>
      </c>
      <c r="P82" s="80"/>
    </row>
    <row r="83" spans="1:16" s="72" customFormat="1" ht="46.5">
      <c r="A83" s="88" t="s">
        <v>95</v>
      </c>
      <c r="B83" s="61">
        <v>2011</v>
      </c>
      <c r="C83" s="75">
        <v>0</v>
      </c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  <c r="J83" s="78"/>
      <c r="K83" s="78"/>
      <c r="L83" s="76">
        <v>0</v>
      </c>
      <c r="M83" s="78">
        <v>0</v>
      </c>
      <c r="N83" s="78">
        <f t="shared" si="15"/>
        <v>0</v>
      </c>
      <c r="O83" s="78">
        <v>0</v>
      </c>
      <c r="P83" s="80"/>
    </row>
    <row r="84" spans="1:16" s="72" customFormat="1" ht="69.75">
      <c r="A84" s="88" t="s">
        <v>96</v>
      </c>
      <c r="B84" s="61">
        <v>2012</v>
      </c>
      <c r="C84" s="75">
        <v>0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8">
        <v>0</v>
      </c>
      <c r="J84" s="78"/>
      <c r="K84" s="78"/>
      <c r="L84" s="76">
        <v>0</v>
      </c>
      <c r="M84" s="78">
        <v>0</v>
      </c>
      <c r="N84" s="78">
        <f t="shared" si="15"/>
        <v>0</v>
      </c>
      <c r="O84" s="78">
        <v>0</v>
      </c>
      <c r="P84" s="80"/>
    </row>
    <row r="85" spans="1:16" s="72" customFormat="1" ht="23.25">
      <c r="A85" s="88" t="s">
        <v>97</v>
      </c>
      <c r="B85" s="61" t="s">
        <v>98</v>
      </c>
      <c r="C85" s="75">
        <v>0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8">
        <v>0</v>
      </c>
      <c r="J85" s="78"/>
      <c r="K85" s="78"/>
      <c r="L85" s="76">
        <v>0</v>
      </c>
      <c r="M85" s="78">
        <v>0</v>
      </c>
      <c r="N85" s="78">
        <f t="shared" si="15"/>
        <v>0</v>
      </c>
      <c r="O85" s="78">
        <v>0</v>
      </c>
      <c r="P85" s="80"/>
    </row>
    <row r="86" spans="1:16" s="72" customFormat="1" ht="23.25">
      <c r="A86" s="88" t="s">
        <v>99</v>
      </c>
      <c r="B86" s="61">
        <v>2020</v>
      </c>
      <c r="C86" s="75">
        <v>0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8">
        <v>0</v>
      </c>
      <c r="J86" s="78"/>
      <c r="K86" s="78"/>
      <c r="L86" s="76">
        <v>0</v>
      </c>
      <c r="M86" s="78">
        <v>0</v>
      </c>
      <c r="N86" s="78">
        <f t="shared" si="15"/>
        <v>0</v>
      </c>
      <c r="O86" s="78">
        <v>0</v>
      </c>
      <c r="P86" s="80"/>
    </row>
    <row r="87" spans="1:16" s="72" customFormat="1" ht="23.25">
      <c r="A87" s="105" t="s">
        <v>100</v>
      </c>
      <c r="B87" s="61">
        <v>2030</v>
      </c>
      <c r="C87" s="75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/>
      <c r="K87" s="78"/>
      <c r="L87" s="76">
        <v>0</v>
      </c>
      <c r="M87" s="78">
        <v>0</v>
      </c>
      <c r="N87" s="78">
        <f t="shared" si="15"/>
        <v>0</v>
      </c>
      <c r="O87" s="78">
        <v>0</v>
      </c>
      <c r="P87" s="80"/>
    </row>
    <row r="88" spans="1:16" s="72" customFormat="1" ht="23.25">
      <c r="A88" s="105" t="s">
        <v>101</v>
      </c>
      <c r="B88" s="61">
        <v>2040</v>
      </c>
      <c r="C88" s="75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8">
        <v>0</v>
      </c>
      <c r="J88" s="78"/>
      <c r="K88" s="78"/>
      <c r="L88" s="76">
        <v>0</v>
      </c>
      <c r="M88" s="78">
        <v>0</v>
      </c>
      <c r="N88" s="78">
        <f t="shared" si="15"/>
        <v>0</v>
      </c>
      <c r="O88" s="78">
        <v>0</v>
      </c>
      <c r="P88" s="80"/>
    </row>
    <row r="89" spans="1:16" s="72" customFormat="1" ht="23.25">
      <c r="A89" s="105" t="s">
        <v>102</v>
      </c>
      <c r="B89" s="61">
        <v>2050</v>
      </c>
      <c r="C89" s="75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  <c r="I89" s="78">
        <v>0</v>
      </c>
      <c r="J89" s="78"/>
      <c r="K89" s="78"/>
      <c r="L89" s="76">
        <v>0</v>
      </c>
      <c r="M89" s="78">
        <v>0</v>
      </c>
      <c r="N89" s="78">
        <f t="shared" si="15"/>
        <v>0</v>
      </c>
      <c r="O89" s="78">
        <v>0</v>
      </c>
      <c r="P89" s="80"/>
    </row>
    <row r="90" spans="1:16" s="72" customFormat="1" ht="23.25">
      <c r="A90" s="105" t="s">
        <v>103</v>
      </c>
      <c r="B90" s="61">
        <v>2060</v>
      </c>
      <c r="C90" s="75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  <c r="I90" s="78">
        <v>0</v>
      </c>
      <c r="J90" s="78"/>
      <c r="K90" s="78"/>
      <c r="L90" s="76">
        <v>0</v>
      </c>
      <c r="M90" s="78">
        <v>0</v>
      </c>
      <c r="N90" s="78">
        <f t="shared" si="15"/>
        <v>0</v>
      </c>
      <c r="O90" s="78">
        <v>0</v>
      </c>
      <c r="P90" s="80"/>
    </row>
    <row r="91" spans="1:16" s="72" customFormat="1" ht="46.5">
      <c r="A91" s="105" t="s">
        <v>104</v>
      </c>
      <c r="B91" s="61">
        <v>2070</v>
      </c>
      <c r="C91" s="106">
        <v>0</v>
      </c>
      <c r="D91" s="107">
        <v>0</v>
      </c>
      <c r="E91" s="107">
        <v>0</v>
      </c>
      <c r="F91" s="107">
        <v>0</v>
      </c>
      <c r="G91" s="107">
        <v>0</v>
      </c>
      <c r="H91" s="107">
        <v>0</v>
      </c>
      <c r="I91" s="107">
        <v>0</v>
      </c>
      <c r="J91" s="107"/>
      <c r="K91" s="107"/>
      <c r="L91" s="108">
        <v>0</v>
      </c>
      <c r="M91" s="107">
        <v>0</v>
      </c>
      <c r="N91" s="78">
        <f t="shared" si="15"/>
        <v>0</v>
      </c>
      <c r="O91" s="78">
        <v>0</v>
      </c>
      <c r="P91" s="80"/>
    </row>
    <row r="92" spans="1:16" s="72" customFormat="1" ht="24" customHeight="1">
      <c r="A92" s="354" t="s">
        <v>105</v>
      </c>
      <c r="B92" s="354"/>
      <c r="C92" s="354"/>
      <c r="D92" s="354"/>
      <c r="E92" s="354"/>
      <c r="F92" s="354"/>
      <c r="G92" s="354"/>
      <c r="H92" s="354"/>
      <c r="I92" s="354"/>
      <c r="J92" s="354"/>
      <c r="K92" s="354"/>
      <c r="L92" s="354"/>
      <c r="M92" s="354"/>
      <c r="N92" s="354"/>
      <c r="O92" s="354"/>
      <c r="P92" s="80"/>
    </row>
    <row r="93" spans="1:16" s="72" customFormat="1" ht="67.5">
      <c r="A93" s="109" t="s">
        <v>106</v>
      </c>
      <c r="B93" s="61">
        <v>2110</v>
      </c>
      <c r="C93" s="83">
        <v>800.4</v>
      </c>
      <c r="D93" s="84">
        <v>1157.5</v>
      </c>
      <c r="E93" s="84">
        <v>1510.9</v>
      </c>
      <c r="F93" s="110">
        <f aca="true" t="shared" si="16" ref="F93:F103">B93+C93+D93+E93</f>
        <v>5578.8</v>
      </c>
      <c r="G93" s="85">
        <v>329.5</v>
      </c>
      <c r="H93" s="110">
        <v>4112.1</v>
      </c>
      <c r="I93" s="85">
        <v>368.9</v>
      </c>
      <c r="J93" s="85"/>
      <c r="K93" s="85">
        <v>353.7</v>
      </c>
      <c r="L93" s="111">
        <v>406.2</v>
      </c>
      <c r="M93" s="76">
        <f aca="true" t="shared" si="17" ref="M93:M101">E93-G93-I93-K93</f>
        <v>458.8000000000001</v>
      </c>
      <c r="N93" s="78">
        <f aca="true" t="shared" si="18" ref="N93:N105">M93-L93</f>
        <v>52.600000000000136</v>
      </c>
      <c r="O93" s="78">
        <f>M93/L93%</f>
        <v>112.94928606597738</v>
      </c>
      <c r="P93" s="80"/>
    </row>
    <row r="94" spans="1:16" s="72" customFormat="1" ht="23.25">
      <c r="A94" s="88" t="s">
        <v>107</v>
      </c>
      <c r="B94" s="61">
        <v>2111</v>
      </c>
      <c r="C94" s="106">
        <v>281.7</v>
      </c>
      <c r="D94" s="108">
        <v>0</v>
      </c>
      <c r="E94" s="107">
        <v>0</v>
      </c>
      <c r="F94" s="86">
        <f t="shared" si="16"/>
        <v>2392.7</v>
      </c>
      <c r="G94" s="107">
        <v>0</v>
      </c>
      <c r="H94" s="86">
        <v>0</v>
      </c>
      <c r="I94" s="107">
        <v>0</v>
      </c>
      <c r="J94" s="107"/>
      <c r="K94" s="107"/>
      <c r="L94" s="87">
        <v>0</v>
      </c>
      <c r="M94" s="76">
        <f t="shared" si="17"/>
        <v>0</v>
      </c>
      <c r="N94" s="78">
        <f t="shared" si="18"/>
        <v>0</v>
      </c>
      <c r="O94" s="78">
        <v>0</v>
      </c>
      <c r="P94" s="80"/>
    </row>
    <row r="95" spans="1:16" s="72" customFormat="1" ht="46.5">
      <c r="A95" s="112" t="s">
        <v>108</v>
      </c>
      <c r="B95" s="28">
        <v>2112</v>
      </c>
      <c r="C95" s="106">
        <v>162.8</v>
      </c>
      <c r="D95" s="108">
        <v>342.4</v>
      </c>
      <c r="E95" s="108">
        <v>252.9</v>
      </c>
      <c r="F95" s="77">
        <f t="shared" si="16"/>
        <v>2870.1000000000004</v>
      </c>
      <c r="G95" s="107">
        <v>57.5</v>
      </c>
      <c r="H95" s="77">
        <v>0</v>
      </c>
      <c r="I95" s="107">
        <v>71.9</v>
      </c>
      <c r="J95" s="107"/>
      <c r="K95" s="107">
        <v>57.3</v>
      </c>
      <c r="L95" s="79">
        <v>0</v>
      </c>
      <c r="M95" s="76">
        <f t="shared" si="17"/>
        <v>66.2</v>
      </c>
      <c r="N95" s="78">
        <f t="shared" si="18"/>
        <v>66.2</v>
      </c>
      <c r="O95" s="78">
        <v>0</v>
      </c>
      <c r="P95" s="80"/>
    </row>
    <row r="96" spans="1:16" s="72" customFormat="1" ht="46.5">
      <c r="A96" s="113" t="s">
        <v>109</v>
      </c>
      <c r="B96" s="69">
        <v>2113</v>
      </c>
      <c r="C96" s="106">
        <v>0</v>
      </c>
      <c r="D96" s="108">
        <v>0</v>
      </c>
      <c r="E96" s="107">
        <v>0</v>
      </c>
      <c r="F96" s="77">
        <f t="shared" si="16"/>
        <v>2113</v>
      </c>
      <c r="G96" s="107">
        <v>0</v>
      </c>
      <c r="H96" s="77">
        <v>0</v>
      </c>
      <c r="I96" s="107">
        <v>0</v>
      </c>
      <c r="J96" s="107"/>
      <c r="K96" s="107"/>
      <c r="L96" s="79">
        <v>0</v>
      </c>
      <c r="M96" s="76">
        <f t="shared" si="17"/>
        <v>0</v>
      </c>
      <c r="N96" s="78">
        <f t="shared" si="18"/>
        <v>0</v>
      </c>
      <c r="O96" s="78">
        <v>0</v>
      </c>
      <c r="P96" s="80"/>
    </row>
    <row r="97" spans="1:16" s="72" customFormat="1" ht="23.25">
      <c r="A97" s="105" t="s">
        <v>110</v>
      </c>
      <c r="B97" s="62">
        <v>2114</v>
      </c>
      <c r="C97" s="106">
        <v>0</v>
      </c>
      <c r="D97" s="108">
        <v>0</v>
      </c>
      <c r="E97" s="107">
        <v>0</v>
      </c>
      <c r="F97" s="86">
        <f t="shared" si="16"/>
        <v>2114</v>
      </c>
      <c r="G97" s="107">
        <v>0</v>
      </c>
      <c r="H97" s="86">
        <v>0</v>
      </c>
      <c r="I97" s="107">
        <v>0</v>
      </c>
      <c r="J97" s="107"/>
      <c r="K97" s="107"/>
      <c r="L97" s="87">
        <v>0</v>
      </c>
      <c r="M97" s="76">
        <f t="shared" si="17"/>
        <v>0</v>
      </c>
      <c r="N97" s="78">
        <f t="shared" si="18"/>
        <v>0</v>
      </c>
      <c r="O97" s="78">
        <v>0</v>
      </c>
      <c r="P97" s="80"/>
    </row>
    <row r="98" spans="1:16" s="72" customFormat="1" ht="69.75">
      <c r="A98" s="105" t="s">
        <v>111</v>
      </c>
      <c r="B98" s="62">
        <v>2115</v>
      </c>
      <c r="C98" s="106">
        <v>0</v>
      </c>
      <c r="D98" s="108">
        <v>0</v>
      </c>
      <c r="E98" s="107">
        <v>0</v>
      </c>
      <c r="F98" s="77">
        <f t="shared" si="16"/>
        <v>2115</v>
      </c>
      <c r="G98" s="107">
        <v>0</v>
      </c>
      <c r="H98" s="77">
        <v>0</v>
      </c>
      <c r="I98" s="107">
        <v>0</v>
      </c>
      <c r="J98" s="107"/>
      <c r="K98" s="107"/>
      <c r="L98" s="79">
        <v>0</v>
      </c>
      <c r="M98" s="76">
        <f t="shared" si="17"/>
        <v>0</v>
      </c>
      <c r="N98" s="78">
        <f t="shared" si="18"/>
        <v>0</v>
      </c>
      <c r="O98" s="78">
        <v>0</v>
      </c>
      <c r="P98" s="80"/>
    </row>
    <row r="99" spans="1:16" s="72" customFormat="1" ht="23.25">
      <c r="A99" s="105" t="s">
        <v>112</v>
      </c>
      <c r="B99" s="62">
        <v>2116</v>
      </c>
      <c r="C99" s="106">
        <v>0</v>
      </c>
      <c r="D99" s="108">
        <v>0</v>
      </c>
      <c r="E99" s="107">
        <v>0</v>
      </c>
      <c r="F99" s="77">
        <f t="shared" si="16"/>
        <v>2116</v>
      </c>
      <c r="G99" s="107">
        <v>0</v>
      </c>
      <c r="H99" s="77">
        <v>0</v>
      </c>
      <c r="I99" s="107">
        <v>0</v>
      </c>
      <c r="J99" s="107"/>
      <c r="K99" s="107"/>
      <c r="L99" s="79">
        <v>0</v>
      </c>
      <c r="M99" s="76">
        <f t="shared" si="17"/>
        <v>0</v>
      </c>
      <c r="N99" s="78">
        <f t="shared" si="18"/>
        <v>0</v>
      </c>
      <c r="O99" s="78">
        <v>0</v>
      </c>
      <c r="P99" s="80"/>
    </row>
    <row r="100" spans="1:16" s="72" customFormat="1" ht="23.25">
      <c r="A100" s="113" t="s">
        <v>113</v>
      </c>
      <c r="B100" s="62">
        <v>2117</v>
      </c>
      <c r="C100" s="106">
        <v>0</v>
      </c>
      <c r="D100" s="108">
        <v>0</v>
      </c>
      <c r="E100" s="107">
        <v>0</v>
      </c>
      <c r="F100" s="77">
        <f t="shared" si="16"/>
        <v>2117</v>
      </c>
      <c r="G100" s="107">
        <v>0</v>
      </c>
      <c r="H100" s="77">
        <v>0</v>
      </c>
      <c r="I100" s="107">
        <v>0</v>
      </c>
      <c r="J100" s="107"/>
      <c r="K100" s="107"/>
      <c r="L100" s="79">
        <v>0</v>
      </c>
      <c r="M100" s="76">
        <f t="shared" si="17"/>
        <v>0</v>
      </c>
      <c r="N100" s="78">
        <f t="shared" si="18"/>
        <v>0</v>
      </c>
      <c r="O100" s="78">
        <v>0</v>
      </c>
      <c r="P100" s="80"/>
    </row>
    <row r="101" spans="1:16" s="72" customFormat="1" ht="45">
      <c r="A101" s="114" t="s">
        <v>114</v>
      </c>
      <c r="B101" s="115">
        <v>2120</v>
      </c>
      <c r="C101" s="116">
        <v>4193.6</v>
      </c>
      <c r="D101" s="117">
        <v>10071.5</v>
      </c>
      <c r="E101" s="117">
        <v>15210.9</v>
      </c>
      <c r="F101" s="110">
        <f t="shared" si="16"/>
        <v>31596</v>
      </c>
      <c r="G101" s="118">
        <v>3161.2</v>
      </c>
      <c r="H101" s="110">
        <v>2090.6</v>
      </c>
      <c r="I101" s="118">
        <v>3593.7</v>
      </c>
      <c r="J101" s="118"/>
      <c r="K101" s="118">
        <v>3738.7</v>
      </c>
      <c r="L101" s="111">
        <v>4228.9</v>
      </c>
      <c r="M101" s="76">
        <f t="shared" si="17"/>
        <v>4717.3</v>
      </c>
      <c r="N101" s="78">
        <f t="shared" si="18"/>
        <v>488.40000000000055</v>
      </c>
      <c r="O101" s="78">
        <f>M101/L101%</f>
        <v>111.54910260351393</v>
      </c>
      <c r="P101" s="80"/>
    </row>
    <row r="102" spans="1:16" s="72" customFormat="1" ht="67.5">
      <c r="A102" s="119" t="s">
        <v>115</v>
      </c>
      <c r="B102" s="120">
        <v>2130</v>
      </c>
      <c r="C102" s="116">
        <v>4980.6</v>
      </c>
      <c r="D102" s="118">
        <f>D93+D103+D104</f>
        <v>13320.7</v>
      </c>
      <c r="E102" s="118">
        <f>E93+E103+E104</f>
        <v>19852.300000000003</v>
      </c>
      <c r="F102" s="110">
        <f t="shared" si="16"/>
        <v>40283.600000000006</v>
      </c>
      <c r="G102" s="118">
        <f>G103+G104</f>
        <v>3975.4</v>
      </c>
      <c r="H102" s="118">
        <f>H103+H104</f>
        <v>2886.6</v>
      </c>
      <c r="I102" s="118">
        <f>I103+I104</f>
        <v>4041.2</v>
      </c>
      <c r="J102" s="118">
        <f>J103+J104</f>
        <v>0</v>
      </c>
      <c r="K102" s="118">
        <f>K103+K104</f>
        <v>4620.3</v>
      </c>
      <c r="L102" s="117">
        <f>L93+L103+L104</f>
        <v>5569.2</v>
      </c>
      <c r="M102" s="118">
        <f>M93+M103+M104</f>
        <v>6163.300000000003</v>
      </c>
      <c r="N102" s="78">
        <f t="shared" si="18"/>
        <v>594.1000000000031</v>
      </c>
      <c r="O102" s="78">
        <f>M102/L102%</f>
        <v>110.66760037348278</v>
      </c>
      <c r="P102" s="80"/>
    </row>
    <row r="103" spans="1:16" s="72" customFormat="1" ht="116.25">
      <c r="A103" s="121" t="s">
        <v>116</v>
      </c>
      <c r="B103" s="62">
        <v>2131</v>
      </c>
      <c r="C103" s="75">
        <v>0</v>
      </c>
      <c r="D103" s="76">
        <v>0</v>
      </c>
      <c r="E103" s="78">
        <v>0</v>
      </c>
      <c r="F103" s="77">
        <f t="shared" si="16"/>
        <v>2131</v>
      </c>
      <c r="G103" s="78">
        <v>0</v>
      </c>
      <c r="H103" s="77">
        <v>0</v>
      </c>
      <c r="I103" s="78">
        <v>0</v>
      </c>
      <c r="J103" s="78"/>
      <c r="K103" s="78"/>
      <c r="L103" s="79">
        <v>0</v>
      </c>
      <c r="M103" s="76">
        <f>E103-G103-I103-K103</f>
        <v>0</v>
      </c>
      <c r="N103" s="78">
        <f t="shared" si="18"/>
        <v>0</v>
      </c>
      <c r="O103" s="78">
        <v>0</v>
      </c>
      <c r="P103" s="80"/>
    </row>
    <row r="104" spans="1:16" s="72" customFormat="1" ht="46.5">
      <c r="A104" s="121" t="s">
        <v>117</v>
      </c>
      <c r="B104" s="62">
        <v>2133</v>
      </c>
      <c r="C104" s="116">
        <v>4980.6</v>
      </c>
      <c r="D104" s="76">
        <v>12163.2</v>
      </c>
      <c r="E104" s="76">
        <v>18341.4</v>
      </c>
      <c r="F104" s="77">
        <v>3360.9</v>
      </c>
      <c r="G104" s="78">
        <v>3975.4</v>
      </c>
      <c r="H104" s="77">
        <v>2886.6</v>
      </c>
      <c r="I104" s="78">
        <v>4041.2</v>
      </c>
      <c r="J104" s="78"/>
      <c r="K104" s="78">
        <v>4620.3</v>
      </c>
      <c r="L104" s="79">
        <v>5163</v>
      </c>
      <c r="M104" s="76">
        <f>E104-G104-I104-K104</f>
        <v>5704.500000000003</v>
      </c>
      <c r="N104" s="78">
        <f t="shared" si="18"/>
        <v>541.5000000000027</v>
      </c>
      <c r="O104" s="78">
        <f>M104/L104%</f>
        <v>110.4880883207438</v>
      </c>
      <c r="P104" s="80"/>
    </row>
    <row r="105" spans="1:16" s="72" customFormat="1" ht="23.25">
      <c r="A105" s="95" t="s">
        <v>118</v>
      </c>
      <c r="B105" s="62">
        <v>2200</v>
      </c>
      <c r="C105" s="116">
        <f>C93+C102</f>
        <v>5781</v>
      </c>
      <c r="D105" s="117">
        <f aca="true" t="shared" si="19" ref="D105:M105">D101+D102</f>
        <v>23392.2</v>
      </c>
      <c r="E105" s="117">
        <f t="shared" si="19"/>
        <v>35063.200000000004</v>
      </c>
      <c r="F105" s="117">
        <f t="shared" si="19"/>
        <v>71879.6</v>
      </c>
      <c r="G105" s="117">
        <f t="shared" si="19"/>
        <v>7136.6</v>
      </c>
      <c r="H105" s="117">
        <f t="shared" si="19"/>
        <v>4977.2</v>
      </c>
      <c r="I105" s="117">
        <f t="shared" si="19"/>
        <v>7634.9</v>
      </c>
      <c r="J105" s="117">
        <f t="shared" si="19"/>
        <v>0</v>
      </c>
      <c r="K105" s="117">
        <f t="shared" si="19"/>
        <v>8359</v>
      </c>
      <c r="L105" s="117">
        <f t="shared" si="19"/>
        <v>9798.099999999999</v>
      </c>
      <c r="M105" s="117">
        <f t="shared" si="19"/>
        <v>10880.600000000002</v>
      </c>
      <c r="N105" s="78">
        <f t="shared" si="18"/>
        <v>1082.5000000000036</v>
      </c>
      <c r="O105" s="78">
        <f>M105/L105%</f>
        <v>111.04806033822888</v>
      </c>
      <c r="P105" s="80"/>
    </row>
    <row r="106" spans="1:16" s="72" customFormat="1" ht="24" customHeight="1">
      <c r="A106" s="122"/>
      <c r="B106" s="71"/>
      <c r="C106" s="355" t="s">
        <v>119</v>
      </c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80"/>
    </row>
    <row r="107" spans="1:16" s="72" customFormat="1" ht="23.25">
      <c r="A107" s="123" t="s">
        <v>120</v>
      </c>
      <c r="B107" s="61">
        <v>3405</v>
      </c>
      <c r="C107" s="116">
        <v>142.4</v>
      </c>
      <c r="D107" s="117">
        <v>102.8</v>
      </c>
      <c r="E107" s="118">
        <v>248.7</v>
      </c>
      <c r="F107" s="118">
        <v>0</v>
      </c>
      <c r="G107" s="118">
        <v>248.7</v>
      </c>
      <c r="H107" s="118">
        <v>0</v>
      </c>
      <c r="I107" s="118">
        <v>0</v>
      </c>
      <c r="J107" s="118"/>
      <c r="K107" s="118"/>
      <c r="L107" s="117">
        <v>0</v>
      </c>
      <c r="M107" s="78">
        <f aca="true" t="shared" si="20" ref="M107:M113">E107-G107-I107-K107</f>
        <v>0</v>
      </c>
      <c r="N107" s="78">
        <f aca="true" t="shared" si="21" ref="N107:N113">M107-L107</f>
        <v>0</v>
      </c>
      <c r="O107" s="78">
        <v>0</v>
      </c>
      <c r="P107" s="80"/>
    </row>
    <row r="108" spans="1:16" s="72" customFormat="1" ht="23.25" hidden="1">
      <c r="A108" s="121" t="s">
        <v>121</v>
      </c>
      <c r="B108" s="124">
        <v>3030</v>
      </c>
      <c r="C108" s="75">
        <v>14568.1</v>
      </c>
      <c r="D108" s="76">
        <v>22236.1</v>
      </c>
      <c r="E108" s="78">
        <v>22236.1</v>
      </c>
      <c r="F108" s="78"/>
      <c r="G108" s="78">
        <v>22236.1</v>
      </c>
      <c r="H108" s="78"/>
      <c r="I108" s="78"/>
      <c r="J108" s="78"/>
      <c r="K108" s="78"/>
      <c r="L108" s="76"/>
      <c r="M108" s="78">
        <f t="shared" si="20"/>
        <v>0</v>
      </c>
      <c r="N108" s="78">
        <f t="shared" si="21"/>
        <v>0</v>
      </c>
      <c r="O108" s="78">
        <v>0</v>
      </c>
      <c r="P108" s="80"/>
    </row>
    <row r="109" spans="1:16" s="72" customFormat="1" ht="23.25" hidden="1">
      <c r="A109" s="121" t="s">
        <v>122</v>
      </c>
      <c r="B109" s="124">
        <v>3195</v>
      </c>
      <c r="C109" s="75">
        <v>0</v>
      </c>
      <c r="D109" s="76">
        <v>0</v>
      </c>
      <c r="E109" s="78">
        <v>0</v>
      </c>
      <c r="F109" s="78"/>
      <c r="G109" s="78">
        <v>0</v>
      </c>
      <c r="H109" s="78"/>
      <c r="I109" s="78"/>
      <c r="J109" s="78"/>
      <c r="K109" s="78"/>
      <c r="L109" s="76"/>
      <c r="M109" s="78">
        <f t="shared" si="20"/>
        <v>0</v>
      </c>
      <c r="N109" s="78">
        <f t="shared" si="21"/>
        <v>0</v>
      </c>
      <c r="O109" s="78">
        <v>0</v>
      </c>
      <c r="P109" s="80"/>
    </row>
    <row r="110" spans="1:16" ht="23.25" hidden="1">
      <c r="A110" s="121" t="s">
        <v>123</v>
      </c>
      <c r="B110" s="124">
        <v>3295</v>
      </c>
      <c r="C110" s="75">
        <v>0</v>
      </c>
      <c r="D110" s="76">
        <v>0</v>
      </c>
      <c r="E110" s="78">
        <v>0</v>
      </c>
      <c r="F110" s="78"/>
      <c r="G110" s="78">
        <v>0</v>
      </c>
      <c r="H110" s="78"/>
      <c r="I110" s="78"/>
      <c r="J110" s="78"/>
      <c r="K110" s="78"/>
      <c r="L110" s="76"/>
      <c r="M110" s="78">
        <f t="shared" si="20"/>
        <v>0</v>
      </c>
      <c r="N110" s="78">
        <f t="shared" si="21"/>
        <v>0</v>
      </c>
      <c r="O110" s="78">
        <v>0</v>
      </c>
      <c r="P110" s="2"/>
    </row>
    <row r="111" spans="1:16" s="72" customFormat="1" ht="23.25" hidden="1">
      <c r="A111" s="121" t="s">
        <v>124</v>
      </c>
      <c r="B111" s="61">
        <v>3395</v>
      </c>
      <c r="C111" s="75">
        <v>0</v>
      </c>
      <c r="D111" s="76">
        <v>0</v>
      </c>
      <c r="E111" s="78">
        <v>0</v>
      </c>
      <c r="F111" s="78"/>
      <c r="G111" s="78">
        <v>0</v>
      </c>
      <c r="H111" s="78"/>
      <c r="I111" s="78"/>
      <c r="J111" s="78"/>
      <c r="K111" s="78"/>
      <c r="L111" s="76"/>
      <c r="M111" s="78">
        <f t="shared" si="20"/>
        <v>0</v>
      </c>
      <c r="N111" s="78">
        <f t="shared" si="21"/>
        <v>0</v>
      </c>
      <c r="O111" s="78">
        <v>0</v>
      </c>
      <c r="P111" s="80"/>
    </row>
    <row r="112" spans="1:16" s="72" customFormat="1" ht="23.25" hidden="1">
      <c r="A112" s="121" t="s">
        <v>125</v>
      </c>
      <c r="B112" s="61">
        <v>3410</v>
      </c>
      <c r="C112" s="75">
        <v>0</v>
      </c>
      <c r="D112" s="76">
        <v>0</v>
      </c>
      <c r="E112" s="78">
        <v>0</v>
      </c>
      <c r="F112" s="78"/>
      <c r="G112" s="78">
        <v>0</v>
      </c>
      <c r="H112" s="78"/>
      <c r="I112" s="78"/>
      <c r="J112" s="78"/>
      <c r="K112" s="78"/>
      <c r="L112" s="76"/>
      <c r="M112" s="78">
        <f t="shared" si="20"/>
        <v>0</v>
      </c>
      <c r="N112" s="78">
        <f t="shared" si="21"/>
        <v>0</v>
      </c>
      <c r="O112" s="78">
        <v>0</v>
      </c>
      <c r="P112" s="80"/>
    </row>
    <row r="113" spans="1:16" s="72" customFormat="1" ht="23.25">
      <c r="A113" s="125" t="s">
        <v>126</v>
      </c>
      <c r="B113" s="61">
        <v>3415</v>
      </c>
      <c r="C113" s="83">
        <v>49.2</v>
      </c>
      <c r="D113" s="84">
        <v>157.3</v>
      </c>
      <c r="E113" s="85">
        <v>1165.4</v>
      </c>
      <c r="F113" s="85">
        <v>0</v>
      </c>
      <c r="G113" s="85">
        <v>764.8</v>
      </c>
      <c r="H113" s="85">
        <v>0</v>
      </c>
      <c r="I113" s="85">
        <v>400.6</v>
      </c>
      <c r="J113" s="85"/>
      <c r="K113" s="85"/>
      <c r="L113" s="84">
        <v>0</v>
      </c>
      <c r="M113" s="78">
        <f t="shared" si="20"/>
        <v>1.1368683772161603E-13</v>
      </c>
      <c r="N113" s="78">
        <f t="shared" si="21"/>
        <v>1.1368683772161603E-13</v>
      </c>
      <c r="O113" s="78">
        <v>0</v>
      </c>
      <c r="P113" s="80"/>
    </row>
    <row r="114" spans="1:16" s="72" customFormat="1" ht="24" customHeight="1">
      <c r="A114" s="356" t="s">
        <v>127</v>
      </c>
      <c r="B114" s="356"/>
      <c r="C114" s="356"/>
      <c r="D114" s="356"/>
      <c r="E114" s="356"/>
      <c r="F114" s="356"/>
      <c r="G114" s="356"/>
      <c r="H114" s="356"/>
      <c r="I114" s="356"/>
      <c r="J114" s="356"/>
      <c r="K114" s="356"/>
      <c r="L114" s="356"/>
      <c r="M114" s="356"/>
      <c r="N114" s="356"/>
      <c r="O114" s="356"/>
      <c r="P114" s="80"/>
    </row>
    <row r="115" spans="1:16" s="72" customFormat="1" ht="23.25">
      <c r="A115" s="123" t="s">
        <v>128</v>
      </c>
      <c r="B115" s="126">
        <v>4000</v>
      </c>
      <c r="C115" s="116">
        <v>18813.7</v>
      </c>
      <c r="D115" s="117">
        <f>SUM(D116:D134)</f>
        <v>110868.5</v>
      </c>
      <c r="E115" s="117">
        <f>SUM(E116:E137)</f>
        <v>61122.7</v>
      </c>
      <c r="F115" s="118">
        <f>Лист3!G6</f>
        <v>4360</v>
      </c>
      <c r="G115" s="118">
        <f>SUM(G116:G134)</f>
        <v>6136.2</v>
      </c>
      <c r="H115" s="118">
        <f>SUM(H116:H134)</f>
        <v>12745.5</v>
      </c>
      <c r="I115" s="118">
        <f>SUM(I116:I134)</f>
        <v>6219.1</v>
      </c>
      <c r="J115" s="118">
        <f>SUM(J116:J134)</f>
        <v>0</v>
      </c>
      <c r="K115" s="118">
        <f>SUM(K116:K134)</f>
        <v>3572.2000000000003</v>
      </c>
      <c r="L115" s="117">
        <f>SUM(L116:L137)</f>
        <v>14908.399999999998</v>
      </c>
      <c r="M115" s="118">
        <f>SUM(M116:M137)</f>
        <v>14618.9</v>
      </c>
      <c r="N115" s="78">
        <f aca="true" t="shared" si="22" ref="N115:N142">M115-L115</f>
        <v>-289.4999999999982</v>
      </c>
      <c r="O115" s="78">
        <f>M115/L115%</f>
        <v>98.05814171876258</v>
      </c>
      <c r="P115" s="80"/>
    </row>
    <row r="116" spans="1:16" s="72" customFormat="1" ht="23.25">
      <c r="A116" s="88" t="s">
        <v>129</v>
      </c>
      <c r="B116" s="127" t="s">
        <v>130</v>
      </c>
      <c r="C116" s="75">
        <v>0</v>
      </c>
      <c r="D116" s="76">
        <v>0</v>
      </c>
      <c r="E116" s="76">
        <v>0</v>
      </c>
      <c r="F116" s="78">
        <f>Лист3!G7</f>
        <v>0</v>
      </c>
      <c r="G116" s="118">
        <v>0</v>
      </c>
      <c r="H116" s="77">
        <v>0</v>
      </c>
      <c r="I116" s="118">
        <v>0</v>
      </c>
      <c r="J116" s="118"/>
      <c r="K116" s="118"/>
      <c r="L116" s="79">
        <v>0</v>
      </c>
      <c r="M116" s="78">
        <f aca="true" t="shared" si="23" ref="M116:M137">E116-G116-I116-K116</f>
        <v>0</v>
      </c>
      <c r="N116" s="78">
        <f t="shared" si="22"/>
        <v>0</v>
      </c>
      <c r="O116" s="78">
        <v>0</v>
      </c>
      <c r="P116" s="80"/>
    </row>
    <row r="117" spans="1:16" s="72" customFormat="1" ht="23.25">
      <c r="A117" s="88" t="s">
        <v>131</v>
      </c>
      <c r="B117" s="127">
        <v>4020</v>
      </c>
      <c r="C117" s="75">
        <v>0</v>
      </c>
      <c r="D117" s="76">
        <v>69850</v>
      </c>
      <c r="E117" s="76">
        <v>0</v>
      </c>
      <c r="F117" s="78">
        <f>Лист3!G8</f>
        <v>0</v>
      </c>
      <c r="G117" s="78">
        <v>0</v>
      </c>
      <c r="H117" s="77">
        <v>0</v>
      </c>
      <c r="I117" s="78">
        <v>0</v>
      </c>
      <c r="J117" s="78"/>
      <c r="K117" s="78"/>
      <c r="L117" s="79">
        <v>0</v>
      </c>
      <c r="M117" s="78">
        <f t="shared" si="23"/>
        <v>0</v>
      </c>
      <c r="N117" s="78">
        <f t="shared" si="22"/>
        <v>0</v>
      </c>
      <c r="O117" s="78">
        <v>0</v>
      </c>
      <c r="P117" s="80"/>
    </row>
    <row r="118" spans="1:16" s="72" customFormat="1" ht="46.5">
      <c r="A118" s="88" t="s">
        <v>132</v>
      </c>
      <c r="B118" s="127">
        <v>4030</v>
      </c>
      <c r="C118" s="75">
        <v>0</v>
      </c>
      <c r="D118" s="76">
        <v>0</v>
      </c>
      <c r="E118" s="76">
        <v>0</v>
      </c>
      <c r="F118" s="78">
        <f>Лист3!G9</f>
        <v>0</v>
      </c>
      <c r="G118" s="78">
        <v>0</v>
      </c>
      <c r="H118" s="77">
        <v>0</v>
      </c>
      <c r="I118" s="78">
        <v>0</v>
      </c>
      <c r="J118" s="78"/>
      <c r="K118" s="78"/>
      <c r="L118" s="79">
        <v>0</v>
      </c>
      <c r="M118" s="78">
        <f t="shared" si="23"/>
        <v>0</v>
      </c>
      <c r="N118" s="78">
        <f t="shared" si="22"/>
        <v>0</v>
      </c>
      <c r="O118" s="78">
        <v>0</v>
      </c>
      <c r="P118" s="80"/>
    </row>
    <row r="119" spans="1:16" s="72" customFormat="1" ht="23.25">
      <c r="A119" s="88" t="s">
        <v>133</v>
      </c>
      <c r="B119" s="127">
        <v>4040</v>
      </c>
      <c r="C119" s="75">
        <v>0</v>
      </c>
      <c r="D119" s="76">
        <v>0</v>
      </c>
      <c r="E119" s="76">
        <v>0</v>
      </c>
      <c r="F119" s="78">
        <f>Лист3!G10</f>
        <v>0</v>
      </c>
      <c r="G119" s="78">
        <v>0</v>
      </c>
      <c r="H119" s="77">
        <v>0</v>
      </c>
      <c r="I119" s="78">
        <v>0</v>
      </c>
      <c r="J119" s="78"/>
      <c r="K119" s="78"/>
      <c r="L119" s="79">
        <v>0</v>
      </c>
      <c r="M119" s="78">
        <f t="shared" si="23"/>
        <v>0</v>
      </c>
      <c r="N119" s="78">
        <f t="shared" si="22"/>
        <v>0</v>
      </c>
      <c r="O119" s="78">
        <v>0</v>
      </c>
      <c r="P119" s="80"/>
    </row>
    <row r="120" spans="1:16" s="72" customFormat="1" ht="46.5">
      <c r="A120" s="88" t="s">
        <v>134</v>
      </c>
      <c r="B120" s="127">
        <v>4050</v>
      </c>
      <c r="C120" s="75">
        <v>0</v>
      </c>
      <c r="D120" s="76">
        <v>249.3</v>
      </c>
      <c r="E120" s="76">
        <v>0</v>
      </c>
      <c r="F120" s="78">
        <f>Лист3!G11</f>
        <v>0</v>
      </c>
      <c r="G120" s="78">
        <v>0</v>
      </c>
      <c r="H120" s="77">
        <v>0</v>
      </c>
      <c r="I120" s="78">
        <v>0</v>
      </c>
      <c r="J120" s="78"/>
      <c r="K120" s="78"/>
      <c r="L120" s="79">
        <v>0</v>
      </c>
      <c r="M120" s="78">
        <f t="shared" si="23"/>
        <v>0</v>
      </c>
      <c r="N120" s="78">
        <f t="shared" si="22"/>
        <v>0</v>
      </c>
      <c r="O120" s="78">
        <v>0</v>
      </c>
      <c r="P120" s="80"/>
    </row>
    <row r="121" spans="1:16" s="72" customFormat="1" ht="23.25">
      <c r="A121" s="88" t="s">
        <v>135</v>
      </c>
      <c r="B121" s="127">
        <v>4060</v>
      </c>
      <c r="C121" s="75">
        <v>0</v>
      </c>
      <c r="D121" s="76">
        <v>5699.9</v>
      </c>
      <c r="E121" s="76">
        <v>3000</v>
      </c>
      <c r="F121" s="78">
        <f>Лист3!G8</f>
        <v>0</v>
      </c>
      <c r="G121" s="78">
        <v>133.5</v>
      </c>
      <c r="H121" s="77">
        <f>1500+4000</f>
        <v>5500</v>
      </c>
      <c r="I121" s="78">
        <v>1815.3</v>
      </c>
      <c r="J121" s="78"/>
      <c r="K121" s="78"/>
      <c r="L121" s="79">
        <v>0</v>
      </c>
      <c r="M121" s="76">
        <f t="shared" si="23"/>
        <v>1051.2</v>
      </c>
      <c r="N121" s="78">
        <f t="shared" si="22"/>
        <v>1051.2</v>
      </c>
      <c r="O121" s="78">
        <v>0</v>
      </c>
      <c r="P121" s="80"/>
    </row>
    <row r="122" spans="1:16" s="72" customFormat="1" ht="69.75">
      <c r="A122" s="88" t="s">
        <v>136</v>
      </c>
      <c r="B122" s="127">
        <v>4070</v>
      </c>
      <c r="C122" s="75">
        <v>0</v>
      </c>
      <c r="D122" s="76">
        <v>200</v>
      </c>
      <c r="E122" s="76">
        <v>0</v>
      </c>
      <c r="F122" s="78"/>
      <c r="G122" s="78">
        <v>0</v>
      </c>
      <c r="H122" s="77">
        <v>0</v>
      </c>
      <c r="I122" s="78">
        <v>0</v>
      </c>
      <c r="J122" s="78"/>
      <c r="K122" s="78"/>
      <c r="L122" s="79">
        <v>0</v>
      </c>
      <c r="M122" s="78">
        <f t="shared" si="23"/>
        <v>0</v>
      </c>
      <c r="N122" s="78">
        <f t="shared" si="22"/>
        <v>0</v>
      </c>
      <c r="O122" s="78">
        <v>0</v>
      </c>
      <c r="P122" s="80"/>
    </row>
    <row r="123" spans="1:16" s="72" customFormat="1" ht="46.5">
      <c r="A123" s="88" t="s">
        <v>137</v>
      </c>
      <c r="B123" s="127">
        <v>4080</v>
      </c>
      <c r="C123" s="75">
        <v>0</v>
      </c>
      <c r="D123" s="76">
        <v>60</v>
      </c>
      <c r="E123" s="76">
        <v>0</v>
      </c>
      <c r="F123" s="78"/>
      <c r="G123" s="78">
        <v>0</v>
      </c>
      <c r="H123" s="77">
        <v>0</v>
      </c>
      <c r="I123" s="78">
        <v>0</v>
      </c>
      <c r="J123" s="78"/>
      <c r="K123" s="78"/>
      <c r="L123" s="79">
        <v>0</v>
      </c>
      <c r="M123" s="78">
        <f t="shared" si="23"/>
        <v>0</v>
      </c>
      <c r="N123" s="78">
        <f t="shared" si="22"/>
        <v>0</v>
      </c>
      <c r="O123" s="78">
        <v>0</v>
      </c>
      <c r="P123" s="80"/>
    </row>
    <row r="124" spans="1:16" s="72" customFormat="1" ht="69.75">
      <c r="A124" s="88" t="s">
        <v>138</v>
      </c>
      <c r="B124" s="127">
        <v>4090</v>
      </c>
      <c r="C124" s="75">
        <v>0</v>
      </c>
      <c r="D124" s="76">
        <v>0</v>
      </c>
      <c r="E124" s="76">
        <v>0</v>
      </c>
      <c r="F124" s="78"/>
      <c r="G124" s="78">
        <v>0</v>
      </c>
      <c r="H124" s="77">
        <v>0</v>
      </c>
      <c r="I124" s="78">
        <v>0</v>
      </c>
      <c r="J124" s="78"/>
      <c r="K124" s="78"/>
      <c r="L124" s="79">
        <v>0</v>
      </c>
      <c r="M124" s="78">
        <f t="shared" si="23"/>
        <v>0</v>
      </c>
      <c r="N124" s="78">
        <f t="shared" si="22"/>
        <v>0</v>
      </c>
      <c r="O124" s="78">
        <v>0</v>
      </c>
      <c r="P124" s="80"/>
    </row>
    <row r="125" spans="1:16" s="72" customFormat="1" ht="46.5">
      <c r="A125" s="88" t="s">
        <v>139</v>
      </c>
      <c r="B125" s="127">
        <v>4100</v>
      </c>
      <c r="C125" s="75">
        <v>0</v>
      </c>
      <c r="D125" s="76">
        <v>0</v>
      </c>
      <c r="E125" s="76">
        <v>0</v>
      </c>
      <c r="F125" s="78"/>
      <c r="G125" s="78">
        <v>0</v>
      </c>
      <c r="H125" s="77">
        <v>0</v>
      </c>
      <c r="I125" s="78">
        <v>0</v>
      </c>
      <c r="J125" s="78"/>
      <c r="K125" s="78"/>
      <c r="L125" s="79">
        <v>0</v>
      </c>
      <c r="M125" s="78">
        <f t="shared" si="23"/>
        <v>0</v>
      </c>
      <c r="N125" s="78">
        <f t="shared" si="22"/>
        <v>0</v>
      </c>
      <c r="O125" s="78">
        <v>0</v>
      </c>
      <c r="P125" s="80"/>
    </row>
    <row r="126" spans="1:16" s="72" customFormat="1" ht="46.5">
      <c r="A126" s="88" t="s">
        <v>140</v>
      </c>
      <c r="B126" s="127">
        <v>4110</v>
      </c>
      <c r="C126" s="75">
        <v>0</v>
      </c>
      <c r="D126" s="76">
        <v>0</v>
      </c>
      <c r="E126" s="76">
        <v>0</v>
      </c>
      <c r="F126" s="78"/>
      <c r="G126" s="78">
        <v>0</v>
      </c>
      <c r="H126" s="77">
        <v>600</v>
      </c>
      <c r="I126" s="78">
        <v>0</v>
      </c>
      <c r="J126" s="78"/>
      <c r="K126" s="78"/>
      <c r="L126" s="79">
        <v>0</v>
      </c>
      <c r="M126" s="78">
        <f t="shared" si="23"/>
        <v>0</v>
      </c>
      <c r="N126" s="78">
        <f t="shared" si="22"/>
        <v>0</v>
      </c>
      <c r="O126" s="78">
        <v>0</v>
      </c>
      <c r="P126" s="80"/>
    </row>
    <row r="127" spans="1:16" s="72" customFormat="1" ht="69.75">
      <c r="A127" s="88" t="s">
        <v>141</v>
      </c>
      <c r="B127" s="127"/>
      <c r="C127" s="75"/>
      <c r="D127" s="76">
        <v>0</v>
      </c>
      <c r="E127" s="76">
        <v>2000</v>
      </c>
      <c r="F127" s="78"/>
      <c r="G127" s="78">
        <v>963.6</v>
      </c>
      <c r="H127" s="77">
        <v>0</v>
      </c>
      <c r="I127" s="78">
        <v>0</v>
      </c>
      <c r="J127" s="78"/>
      <c r="K127" s="78">
        <v>285.9</v>
      </c>
      <c r="L127" s="79">
        <v>750</v>
      </c>
      <c r="M127" s="76">
        <f t="shared" si="23"/>
        <v>750.5000000000001</v>
      </c>
      <c r="N127" s="78">
        <f t="shared" si="22"/>
        <v>0.5000000000001137</v>
      </c>
      <c r="O127" s="78">
        <v>0</v>
      </c>
      <c r="P127" s="80"/>
    </row>
    <row r="128" spans="1:16" s="72" customFormat="1" ht="23.25">
      <c r="A128" s="112" t="s">
        <v>142</v>
      </c>
      <c r="B128" s="127"/>
      <c r="C128" s="75"/>
      <c r="D128" s="76">
        <v>3065.8</v>
      </c>
      <c r="E128" s="76">
        <v>8095.9</v>
      </c>
      <c r="F128" s="78"/>
      <c r="G128" s="78">
        <v>2817.2</v>
      </c>
      <c r="H128" s="77">
        <v>2248.8</v>
      </c>
      <c r="I128" s="78">
        <v>1023.8</v>
      </c>
      <c r="J128" s="78"/>
      <c r="K128" s="78">
        <v>1224.6</v>
      </c>
      <c r="L128" s="79">
        <v>2180</v>
      </c>
      <c r="M128" s="76">
        <f t="shared" si="23"/>
        <v>3030.2999999999997</v>
      </c>
      <c r="N128" s="78">
        <f t="shared" si="22"/>
        <v>850.2999999999997</v>
      </c>
      <c r="O128" s="78">
        <f>M128/L128%</f>
        <v>139.0045871559633</v>
      </c>
      <c r="P128" s="80"/>
    </row>
    <row r="129" spans="1:16" s="72" customFormat="1" ht="23.25">
      <c r="A129" s="88" t="s">
        <v>143</v>
      </c>
      <c r="B129" s="127"/>
      <c r="C129" s="75"/>
      <c r="D129" s="76">
        <v>26066.8</v>
      </c>
      <c r="E129" s="76">
        <v>6297.1</v>
      </c>
      <c r="F129" s="78"/>
      <c r="G129" s="78">
        <v>1618.7</v>
      </c>
      <c r="H129" s="77">
        <v>0</v>
      </c>
      <c r="I129" s="78">
        <v>0</v>
      </c>
      <c r="J129" s="78"/>
      <c r="K129" s="78"/>
      <c r="L129" s="79">
        <v>4678.4</v>
      </c>
      <c r="M129" s="76">
        <f t="shared" si="23"/>
        <v>4678.400000000001</v>
      </c>
      <c r="N129" s="78">
        <f t="shared" si="22"/>
        <v>0</v>
      </c>
      <c r="O129" s="78">
        <v>0</v>
      </c>
      <c r="P129" s="80"/>
    </row>
    <row r="130" spans="1:16" s="72" customFormat="1" ht="23.25">
      <c r="A130" s="88" t="s">
        <v>144</v>
      </c>
      <c r="B130" s="127"/>
      <c r="C130" s="75"/>
      <c r="D130" s="76">
        <v>0</v>
      </c>
      <c r="E130" s="76">
        <v>0</v>
      </c>
      <c r="F130" s="78"/>
      <c r="G130" s="78">
        <v>0</v>
      </c>
      <c r="H130" s="77">
        <v>0</v>
      </c>
      <c r="I130" s="78">
        <v>0</v>
      </c>
      <c r="J130" s="78"/>
      <c r="K130" s="78"/>
      <c r="L130" s="79">
        <v>0</v>
      </c>
      <c r="M130" s="78">
        <f t="shared" si="23"/>
        <v>0</v>
      </c>
      <c r="N130" s="78">
        <f t="shared" si="22"/>
        <v>0</v>
      </c>
      <c r="O130" s="78">
        <v>0</v>
      </c>
      <c r="P130" s="80"/>
    </row>
    <row r="131" spans="1:16" s="72" customFormat="1" ht="46.5">
      <c r="A131" s="88" t="s">
        <v>145</v>
      </c>
      <c r="B131" s="127"/>
      <c r="C131" s="75"/>
      <c r="D131" s="76">
        <v>2000</v>
      </c>
      <c r="E131" s="76">
        <v>3100</v>
      </c>
      <c r="F131" s="78"/>
      <c r="G131" s="78">
        <v>603.2</v>
      </c>
      <c r="H131" s="77">
        <v>396.7</v>
      </c>
      <c r="I131" s="78">
        <v>396.4</v>
      </c>
      <c r="J131" s="78"/>
      <c r="K131" s="78">
        <v>1045.4</v>
      </c>
      <c r="L131" s="79">
        <v>600</v>
      </c>
      <c r="M131" s="76">
        <f t="shared" si="23"/>
        <v>1055</v>
      </c>
      <c r="N131" s="78">
        <f t="shared" si="22"/>
        <v>455</v>
      </c>
      <c r="O131" s="78">
        <f>M131/L131%</f>
        <v>175.83333333333334</v>
      </c>
      <c r="P131" s="80"/>
    </row>
    <row r="132" spans="1:16" s="72" customFormat="1" ht="69.75">
      <c r="A132" s="128" t="s">
        <v>146</v>
      </c>
      <c r="B132" s="127"/>
      <c r="C132" s="75"/>
      <c r="D132" s="76">
        <v>0</v>
      </c>
      <c r="E132" s="76">
        <v>0</v>
      </c>
      <c r="F132" s="78"/>
      <c r="G132" s="78"/>
      <c r="H132" s="77"/>
      <c r="I132" s="78"/>
      <c r="J132" s="78"/>
      <c r="K132" s="78"/>
      <c r="L132" s="79">
        <v>0</v>
      </c>
      <c r="M132" s="76">
        <f t="shared" si="23"/>
        <v>0</v>
      </c>
      <c r="N132" s="78">
        <f t="shared" si="22"/>
        <v>0</v>
      </c>
      <c r="O132" s="78" t="e">
        <f>M132/L132%</f>
        <v>#DIV/0!</v>
      </c>
      <c r="P132" s="80"/>
    </row>
    <row r="133" spans="1:16" s="72" customFormat="1" ht="23.25">
      <c r="A133" s="88" t="s">
        <v>147</v>
      </c>
      <c r="B133" s="127"/>
      <c r="C133" s="75"/>
      <c r="D133" s="76">
        <v>1676.7</v>
      </c>
      <c r="E133" s="76">
        <v>1800</v>
      </c>
      <c r="F133" s="78"/>
      <c r="G133" s="78">
        <v>0</v>
      </c>
      <c r="H133" s="77">
        <v>900</v>
      </c>
      <c r="I133" s="78">
        <v>848.6</v>
      </c>
      <c r="J133" s="78"/>
      <c r="K133" s="78">
        <v>51.3</v>
      </c>
      <c r="L133" s="79">
        <v>900</v>
      </c>
      <c r="M133" s="76">
        <f t="shared" si="23"/>
        <v>900.1</v>
      </c>
      <c r="N133" s="78">
        <f t="shared" si="22"/>
        <v>0.10000000000002274</v>
      </c>
      <c r="O133" s="78">
        <v>0</v>
      </c>
      <c r="P133" s="80"/>
    </row>
    <row r="134" spans="1:16" s="72" customFormat="1" ht="69.75">
      <c r="A134" s="129" t="s">
        <v>148</v>
      </c>
      <c r="B134" s="127"/>
      <c r="C134" s="75"/>
      <c r="D134" s="76">
        <v>2000</v>
      </c>
      <c r="E134" s="76">
        <v>3100</v>
      </c>
      <c r="F134" s="78"/>
      <c r="G134" s="78">
        <v>0</v>
      </c>
      <c r="H134" s="77">
        <v>3100</v>
      </c>
      <c r="I134" s="78">
        <v>2135</v>
      </c>
      <c r="J134" s="78"/>
      <c r="K134" s="78">
        <v>965</v>
      </c>
      <c r="L134" s="79">
        <v>0</v>
      </c>
      <c r="M134" s="78">
        <f t="shared" si="23"/>
        <v>0</v>
      </c>
      <c r="N134" s="78">
        <f t="shared" si="22"/>
        <v>0</v>
      </c>
      <c r="O134" s="78">
        <v>0</v>
      </c>
      <c r="P134" s="80"/>
    </row>
    <row r="135" spans="1:16" s="72" customFormat="1" ht="116.25">
      <c r="A135" s="130" t="s">
        <v>149</v>
      </c>
      <c r="B135" s="127"/>
      <c r="C135" s="75"/>
      <c r="D135" s="76">
        <v>0</v>
      </c>
      <c r="E135" s="76">
        <v>0</v>
      </c>
      <c r="F135" s="78"/>
      <c r="G135" s="78"/>
      <c r="H135" s="77"/>
      <c r="I135" s="78"/>
      <c r="J135" s="78"/>
      <c r="K135" s="78"/>
      <c r="L135" s="79">
        <v>0</v>
      </c>
      <c r="M135" s="78">
        <f t="shared" si="23"/>
        <v>0</v>
      </c>
      <c r="N135" s="78">
        <f t="shared" si="22"/>
        <v>0</v>
      </c>
      <c r="O135" s="78">
        <v>0</v>
      </c>
      <c r="P135" s="80"/>
    </row>
    <row r="136" spans="1:16" s="72" customFormat="1" ht="46.5">
      <c r="A136" s="128" t="s">
        <v>150</v>
      </c>
      <c r="B136" s="127"/>
      <c r="C136" s="75"/>
      <c r="D136" s="131">
        <v>0</v>
      </c>
      <c r="E136" s="132">
        <v>33729.7</v>
      </c>
      <c r="F136" s="78"/>
      <c r="G136" s="78"/>
      <c r="H136" s="77"/>
      <c r="I136" s="78"/>
      <c r="J136" s="78"/>
      <c r="K136" s="78">
        <v>30576.3</v>
      </c>
      <c r="L136" s="79">
        <v>3206.7</v>
      </c>
      <c r="M136" s="76">
        <f t="shared" si="23"/>
        <v>3153.399999999998</v>
      </c>
      <c r="N136" s="78">
        <f t="shared" si="22"/>
        <v>-53.300000000002</v>
      </c>
      <c r="O136" s="78">
        <f>M136/L136%</f>
        <v>98.33785511585111</v>
      </c>
      <c r="P136" s="80"/>
    </row>
    <row r="137" spans="1:16" s="72" customFormat="1" ht="93">
      <c r="A137" s="128" t="s">
        <v>151</v>
      </c>
      <c r="B137" s="127"/>
      <c r="C137" s="75"/>
      <c r="D137" s="131">
        <v>0</v>
      </c>
      <c r="E137" s="132">
        <v>0</v>
      </c>
      <c r="F137" s="78"/>
      <c r="G137" s="78"/>
      <c r="H137" s="77"/>
      <c r="I137" s="78"/>
      <c r="J137" s="78"/>
      <c r="K137" s="78"/>
      <c r="L137" s="79">
        <v>2593.3</v>
      </c>
      <c r="M137" s="76">
        <f t="shared" si="23"/>
        <v>0</v>
      </c>
      <c r="N137" s="78">
        <f t="shared" si="22"/>
        <v>-2593.3</v>
      </c>
      <c r="O137" s="78">
        <f>M137/L137%</f>
        <v>0</v>
      </c>
      <c r="P137" s="80"/>
    </row>
    <row r="138" spans="1:16" s="72" customFormat="1" ht="45">
      <c r="A138" s="95" t="s">
        <v>152</v>
      </c>
      <c r="B138" s="126">
        <v>4000</v>
      </c>
      <c r="C138" s="83">
        <v>18813.7</v>
      </c>
      <c r="D138" s="84">
        <f aca="true" t="shared" si="24" ref="D138:M138">SUM(D139:D142)</f>
        <v>110868.5</v>
      </c>
      <c r="E138" s="84">
        <f t="shared" si="24"/>
        <v>61122.7</v>
      </c>
      <c r="F138" s="85">
        <f t="shared" si="24"/>
        <v>4360</v>
      </c>
      <c r="G138" s="85">
        <f t="shared" si="24"/>
        <v>6136.2</v>
      </c>
      <c r="H138" s="85">
        <f t="shared" si="24"/>
        <v>12745.5</v>
      </c>
      <c r="I138" s="85">
        <f t="shared" si="24"/>
        <v>6219.1</v>
      </c>
      <c r="J138" s="85">
        <f t="shared" si="24"/>
        <v>0</v>
      </c>
      <c r="K138" s="85">
        <f t="shared" si="24"/>
        <v>3572.2000000000003</v>
      </c>
      <c r="L138" s="84">
        <f t="shared" si="24"/>
        <v>14908.399999999998</v>
      </c>
      <c r="M138" s="84">
        <f t="shared" si="24"/>
        <v>45195.200000000004</v>
      </c>
      <c r="N138" s="78">
        <f t="shared" si="22"/>
        <v>30286.800000000007</v>
      </c>
      <c r="O138" s="78">
        <f>M138/L138%</f>
        <v>303.1525851197983</v>
      </c>
      <c r="P138" s="80"/>
    </row>
    <row r="139" spans="1:16" s="72" customFormat="1" ht="23.25">
      <c r="A139" s="105" t="s">
        <v>153</v>
      </c>
      <c r="B139" s="126" t="s">
        <v>154</v>
      </c>
      <c r="C139" s="75">
        <v>0</v>
      </c>
      <c r="D139" s="76">
        <v>0</v>
      </c>
      <c r="E139" s="76">
        <v>0</v>
      </c>
      <c r="F139" s="78"/>
      <c r="G139" s="78">
        <v>0</v>
      </c>
      <c r="H139" s="78">
        <v>0</v>
      </c>
      <c r="I139" s="78">
        <v>0</v>
      </c>
      <c r="J139" s="78"/>
      <c r="K139" s="78"/>
      <c r="L139" s="76">
        <v>0</v>
      </c>
      <c r="M139" s="76">
        <f>E139-G139-I139-K139</f>
        <v>0</v>
      </c>
      <c r="N139" s="78">
        <f t="shared" si="22"/>
        <v>0</v>
      </c>
      <c r="O139" s="78">
        <v>0</v>
      </c>
      <c r="P139" s="80"/>
    </row>
    <row r="140" spans="1:16" s="72" customFormat="1" ht="23.25">
      <c r="A140" s="105" t="s">
        <v>155</v>
      </c>
      <c r="B140" s="126" t="s">
        <v>156</v>
      </c>
      <c r="C140" s="75">
        <v>317.5</v>
      </c>
      <c r="D140" s="76">
        <f aca="true" t="shared" si="25" ref="D140:L140">D115</f>
        <v>110868.5</v>
      </c>
      <c r="E140" s="76">
        <f t="shared" si="25"/>
        <v>61122.7</v>
      </c>
      <c r="F140" s="78">
        <f t="shared" si="25"/>
        <v>4360</v>
      </c>
      <c r="G140" s="78">
        <f t="shared" si="25"/>
        <v>6136.2</v>
      </c>
      <c r="H140" s="78">
        <f t="shared" si="25"/>
        <v>12745.5</v>
      </c>
      <c r="I140" s="78">
        <f t="shared" si="25"/>
        <v>6219.1</v>
      </c>
      <c r="J140" s="78">
        <f t="shared" si="25"/>
        <v>0</v>
      </c>
      <c r="K140" s="78">
        <f t="shared" si="25"/>
        <v>3572.2000000000003</v>
      </c>
      <c r="L140" s="76">
        <f t="shared" si="25"/>
        <v>14908.399999999998</v>
      </c>
      <c r="M140" s="76">
        <f>E140-G140-I140-K140</f>
        <v>45195.200000000004</v>
      </c>
      <c r="N140" s="78">
        <f t="shared" si="22"/>
        <v>30286.800000000007</v>
      </c>
      <c r="O140" s="78">
        <f>M140/L140%</f>
        <v>303.1525851197983</v>
      </c>
      <c r="P140" s="80"/>
    </row>
    <row r="141" spans="1:16" s="72" customFormat="1" ht="23.25">
      <c r="A141" s="105" t="s">
        <v>157</v>
      </c>
      <c r="B141" s="126" t="s">
        <v>158</v>
      </c>
      <c r="C141" s="75">
        <v>0</v>
      </c>
      <c r="D141" s="76">
        <v>0</v>
      </c>
      <c r="E141" s="76">
        <v>0</v>
      </c>
      <c r="F141" s="78"/>
      <c r="G141" s="78">
        <v>0</v>
      </c>
      <c r="H141" s="78">
        <v>0</v>
      </c>
      <c r="I141" s="78">
        <v>0</v>
      </c>
      <c r="J141" s="78"/>
      <c r="K141" s="78"/>
      <c r="L141" s="76">
        <v>0</v>
      </c>
      <c r="M141" s="76">
        <f>E141-G141-I141-K141</f>
        <v>0</v>
      </c>
      <c r="N141" s="78">
        <f t="shared" si="22"/>
        <v>0</v>
      </c>
      <c r="O141" s="78">
        <v>0</v>
      </c>
      <c r="P141" s="80"/>
    </row>
    <row r="142" spans="1:16" s="72" customFormat="1" ht="23.25">
      <c r="A142" s="133" t="s">
        <v>159</v>
      </c>
      <c r="B142" s="134" t="s">
        <v>160</v>
      </c>
      <c r="C142" s="135">
        <v>0</v>
      </c>
      <c r="D142" s="136">
        <v>0</v>
      </c>
      <c r="E142" s="136">
        <v>0</v>
      </c>
      <c r="F142" s="137"/>
      <c r="G142" s="137">
        <v>0</v>
      </c>
      <c r="H142" s="137">
        <v>0</v>
      </c>
      <c r="I142" s="137">
        <v>0</v>
      </c>
      <c r="J142" s="137"/>
      <c r="K142" s="137"/>
      <c r="L142" s="136">
        <v>0</v>
      </c>
      <c r="M142" s="78">
        <f>E142-G142-I142-K142</f>
        <v>0</v>
      </c>
      <c r="N142" s="78">
        <f t="shared" si="22"/>
        <v>0</v>
      </c>
      <c r="O142" s="78">
        <v>0</v>
      </c>
      <c r="P142" s="80"/>
    </row>
    <row r="143" spans="1:16" s="72" customFormat="1" ht="24" customHeight="1">
      <c r="A143" s="357" t="s">
        <v>161</v>
      </c>
      <c r="B143" s="357"/>
      <c r="C143" s="357"/>
      <c r="D143" s="357"/>
      <c r="E143" s="357"/>
      <c r="F143" s="357"/>
      <c r="G143" s="357"/>
      <c r="H143" s="357"/>
      <c r="I143" s="357"/>
      <c r="J143" s="357"/>
      <c r="K143" s="357"/>
      <c r="L143" s="357"/>
      <c r="M143" s="357"/>
      <c r="N143" s="357"/>
      <c r="O143" s="357"/>
      <c r="P143" s="80"/>
    </row>
    <row r="144" spans="1:16" s="72" customFormat="1" ht="23.25">
      <c r="A144" s="138" t="s">
        <v>162</v>
      </c>
      <c r="B144" s="104">
        <v>5040</v>
      </c>
      <c r="C144" s="116">
        <v>-13.4</v>
      </c>
      <c r="D144" s="139">
        <f>D59/D68*100</f>
        <v>-10.585020215045864</v>
      </c>
      <c r="E144" s="139">
        <f>E59/E68*100</f>
        <v>-11.545476935633285</v>
      </c>
      <c r="F144" s="118">
        <f>'18'!G79</f>
        <v>0</v>
      </c>
      <c r="G144" s="118">
        <v>-13.6</v>
      </c>
      <c r="H144" s="118">
        <v>0</v>
      </c>
      <c r="I144" s="118">
        <v>-8</v>
      </c>
      <c r="J144" s="118"/>
      <c r="K144" s="118"/>
      <c r="L144" s="139">
        <f>L59/L68*100</f>
        <v>-5.243518482528078</v>
      </c>
      <c r="M144" s="139">
        <f>M59/M68*100</f>
        <v>-3.4454778211500523</v>
      </c>
      <c r="N144" s="76">
        <f>M144-L144</f>
        <v>1.7980406613780255</v>
      </c>
      <c r="O144" s="78">
        <v>0</v>
      </c>
      <c r="P144" s="80"/>
    </row>
    <row r="145" spans="1:16" s="72" customFormat="1" ht="23.25" hidden="1">
      <c r="A145" s="138" t="s">
        <v>163</v>
      </c>
      <c r="B145" s="104">
        <v>5020</v>
      </c>
      <c r="C145" s="75"/>
      <c r="D145" s="140"/>
      <c r="E145" s="78"/>
      <c r="F145" s="78"/>
      <c r="G145" s="141"/>
      <c r="H145" s="78"/>
      <c r="I145" s="141"/>
      <c r="J145" s="141"/>
      <c r="K145" s="141"/>
      <c r="L145" s="76"/>
      <c r="M145" s="78"/>
      <c r="N145" s="78">
        <f>M145-L145</f>
        <v>0</v>
      </c>
      <c r="O145" s="78" t="e">
        <f>M145/L145%</f>
        <v>#DIV/0!</v>
      </c>
      <c r="P145" s="80"/>
    </row>
    <row r="146" spans="1:16" s="72" customFormat="1" ht="23.25" hidden="1">
      <c r="A146" s="121" t="s">
        <v>164</v>
      </c>
      <c r="B146" s="61">
        <v>5030</v>
      </c>
      <c r="C146" s="106"/>
      <c r="D146" s="142"/>
      <c r="E146" s="107"/>
      <c r="F146" s="107"/>
      <c r="G146" s="143"/>
      <c r="H146" s="107"/>
      <c r="I146" s="143"/>
      <c r="J146" s="143"/>
      <c r="K146" s="143"/>
      <c r="L146" s="108"/>
      <c r="M146" s="107"/>
      <c r="N146" s="78">
        <f>M146-L146</f>
        <v>0</v>
      </c>
      <c r="O146" s="78" t="e">
        <f>M146/L146%</f>
        <v>#DIV/0!</v>
      </c>
      <c r="P146" s="80"/>
    </row>
    <row r="147" spans="1:16" s="72" customFormat="1" ht="23.25" hidden="1">
      <c r="A147" s="144" t="s">
        <v>165</v>
      </c>
      <c r="B147" s="124">
        <v>5110</v>
      </c>
      <c r="C147" s="145"/>
      <c r="D147" s="146"/>
      <c r="E147" s="147"/>
      <c r="F147" s="147"/>
      <c r="G147" s="148"/>
      <c r="H147" s="147"/>
      <c r="I147" s="148"/>
      <c r="J147" s="148"/>
      <c r="K147" s="148"/>
      <c r="L147" s="149"/>
      <c r="M147" s="147"/>
      <c r="N147" s="78">
        <f>M147-L147</f>
        <v>0</v>
      </c>
      <c r="O147" s="78" t="e">
        <f>M147/L147%</f>
        <v>#DIV/0!</v>
      </c>
      <c r="P147" s="80"/>
    </row>
    <row r="148" spans="1:16" s="72" customFormat="1" ht="23.25" hidden="1">
      <c r="A148" s="150" t="s">
        <v>166</v>
      </c>
      <c r="B148" s="151">
        <v>5220</v>
      </c>
      <c r="C148" s="135"/>
      <c r="D148" s="152"/>
      <c r="E148" s="137"/>
      <c r="F148" s="137"/>
      <c r="G148" s="153"/>
      <c r="H148" s="137"/>
      <c r="I148" s="153"/>
      <c r="J148" s="153"/>
      <c r="K148" s="153"/>
      <c r="L148" s="136"/>
      <c r="M148" s="137"/>
      <c r="N148" s="78">
        <f>M148-L148</f>
        <v>0</v>
      </c>
      <c r="O148" s="78" t="e">
        <f>M148/L148%</f>
        <v>#DIV/0!</v>
      </c>
      <c r="P148" s="80"/>
    </row>
    <row r="149" spans="1:16" s="72" customFormat="1" ht="24" customHeight="1">
      <c r="A149" s="352" t="s">
        <v>167</v>
      </c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80"/>
    </row>
    <row r="150" spans="1:16" s="72" customFormat="1" ht="23.25">
      <c r="A150" s="138" t="s">
        <v>168</v>
      </c>
      <c r="B150" s="104">
        <v>6000</v>
      </c>
      <c r="C150" s="75">
        <v>43979.8</v>
      </c>
      <c r="D150" s="76">
        <v>49492.9</v>
      </c>
      <c r="E150" s="76">
        <v>149779.4</v>
      </c>
      <c r="F150" s="78"/>
      <c r="G150" s="78">
        <v>106793.7</v>
      </c>
      <c r="H150" s="78">
        <v>0</v>
      </c>
      <c r="I150" s="78"/>
      <c r="J150" s="78"/>
      <c r="K150" s="78"/>
      <c r="L150" s="76">
        <v>0</v>
      </c>
      <c r="M150" s="107" t="s">
        <v>169</v>
      </c>
      <c r="N150" s="107">
        <f aca="true" t="shared" si="26" ref="N150:N162">E150-D150</f>
        <v>100286.5</v>
      </c>
      <c r="O150" s="78">
        <v>0</v>
      </c>
      <c r="P150" s="80"/>
    </row>
    <row r="151" spans="1:16" s="72" customFormat="1" ht="23.25">
      <c r="A151" s="138" t="s">
        <v>170</v>
      </c>
      <c r="B151" s="104">
        <v>6001</v>
      </c>
      <c r="C151" s="106">
        <v>39851.2</v>
      </c>
      <c r="D151" s="108">
        <v>46516.8</v>
      </c>
      <c r="E151" s="108">
        <v>142552.3</v>
      </c>
      <c r="F151" s="107"/>
      <c r="G151" s="107">
        <v>99698.4</v>
      </c>
      <c r="H151" s="107">
        <f>H152-H153</f>
        <v>0</v>
      </c>
      <c r="I151" s="107"/>
      <c r="J151" s="107"/>
      <c r="K151" s="107"/>
      <c r="L151" s="108">
        <f>L152-L153</f>
        <v>0</v>
      </c>
      <c r="M151" s="107" t="s">
        <v>169</v>
      </c>
      <c r="N151" s="107">
        <f t="shared" si="26"/>
        <v>96035.49999999999</v>
      </c>
      <c r="O151" s="78">
        <v>0</v>
      </c>
      <c r="P151" s="80"/>
    </row>
    <row r="152" spans="1:16" s="72" customFormat="1" ht="23.25">
      <c r="A152" s="138" t="s">
        <v>171</v>
      </c>
      <c r="B152" s="104">
        <v>6002</v>
      </c>
      <c r="C152" s="75">
        <v>206</v>
      </c>
      <c r="D152" s="76">
        <v>273.3</v>
      </c>
      <c r="E152" s="76">
        <v>341</v>
      </c>
      <c r="F152" s="78"/>
      <c r="G152" s="78">
        <v>296</v>
      </c>
      <c r="H152" s="78">
        <v>0</v>
      </c>
      <c r="I152" s="78"/>
      <c r="J152" s="78"/>
      <c r="K152" s="78"/>
      <c r="L152" s="76">
        <v>0</v>
      </c>
      <c r="M152" s="107" t="s">
        <v>169</v>
      </c>
      <c r="N152" s="107">
        <f t="shared" si="26"/>
        <v>67.69999999999999</v>
      </c>
      <c r="O152" s="78">
        <v>0</v>
      </c>
      <c r="P152" s="80"/>
    </row>
    <row r="153" spans="1:16" s="72" customFormat="1" ht="23.25">
      <c r="A153" s="138" t="s">
        <v>172</v>
      </c>
      <c r="B153" s="104">
        <v>6003</v>
      </c>
      <c r="C153" s="75">
        <v>61343.7</v>
      </c>
      <c r="D153" s="76">
        <v>73113.5</v>
      </c>
      <c r="E153" s="76">
        <v>90044.2</v>
      </c>
      <c r="F153" s="78"/>
      <c r="G153" s="78">
        <v>80551.4</v>
      </c>
      <c r="H153" s="78">
        <v>0</v>
      </c>
      <c r="I153" s="78"/>
      <c r="J153" s="78"/>
      <c r="K153" s="78"/>
      <c r="L153" s="76">
        <v>0</v>
      </c>
      <c r="M153" s="107" t="s">
        <v>169</v>
      </c>
      <c r="N153" s="107">
        <f t="shared" si="26"/>
        <v>16930.699999999997</v>
      </c>
      <c r="O153" s="78">
        <v>0</v>
      </c>
      <c r="P153" s="80"/>
    </row>
    <row r="154" spans="1:16" s="72" customFormat="1" ht="23.25">
      <c r="A154" s="121" t="s">
        <v>173</v>
      </c>
      <c r="B154" s="61">
        <v>6010</v>
      </c>
      <c r="C154" s="75">
        <v>18847.4</v>
      </c>
      <c r="D154" s="76">
        <v>17570.2</v>
      </c>
      <c r="E154" s="76">
        <v>22795.4</v>
      </c>
      <c r="F154" s="78"/>
      <c r="G154" s="78">
        <v>19798.5</v>
      </c>
      <c r="H154" s="78">
        <v>0</v>
      </c>
      <c r="I154" s="78"/>
      <c r="J154" s="78"/>
      <c r="K154" s="78"/>
      <c r="L154" s="76">
        <v>0</v>
      </c>
      <c r="M154" s="107" t="s">
        <v>169</v>
      </c>
      <c r="N154" s="107">
        <f t="shared" si="26"/>
        <v>5225.200000000001</v>
      </c>
      <c r="O154" s="78">
        <v>0</v>
      </c>
      <c r="P154" s="80"/>
    </row>
    <row r="155" spans="1:16" s="72" customFormat="1" ht="23.25">
      <c r="A155" s="121" t="s">
        <v>174</v>
      </c>
      <c r="B155" s="61">
        <v>6011</v>
      </c>
      <c r="C155" s="75">
        <v>49.2</v>
      </c>
      <c r="D155" s="76">
        <v>157.3</v>
      </c>
      <c r="E155" s="76">
        <v>1870.9</v>
      </c>
      <c r="F155" s="78"/>
      <c r="G155" s="78">
        <v>764.8</v>
      </c>
      <c r="H155" s="78">
        <v>0</v>
      </c>
      <c r="I155" s="78"/>
      <c r="J155" s="78"/>
      <c r="K155" s="78"/>
      <c r="L155" s="76">
        <v>0</v>
      </c>
      <c r="M155" s="107" t="s">
        <v>169</v>
      </c>
      <c r="N155" s="107">
        <f t="shared" si="26"/>
        <v>1713.6000000000001</v>
      </c>
      <c r="O155" s="78">
        <v>0</v>
      </c>
      <c r="P155" s="80"/>
    </row>
    <row r="156" spans="1:16" s="72" customFormat="1" ht="23.25">
      <c r="A156" s="95" t="s">
        <v>175</v>
      </c>
      <c r="B156" s="61">
        <v>6020</v>
      </c>
      <c r="C156" s="116">
        <f>C150+C154</f>
        <v>62827.200000000004</v>
      </c>
      <c r="D156" s="117">
        <f>D150+D154</f>
        <v>67063.1</v>
      </c>
      <c r="E156" s="117">
        <f>E150+E154</f>
        <v>172574.8</v>
      </c>
      <c r="F156" s="118"/>
      <c r="G156" s="118">
        <f>G150+G154</f>
        <v>126592.2</v>
      </c>
      <c r="H156" s="118">
        <f>H150+H154</f>
        <v>0</v>
      </c>
      <c r="I156" s="118">
        <f>I150+I154</f>
        <v>0</v>
      </c>
      <c r="J156" s="118">
        <f>J150+J154</f>
        <v>0</v>
      </c>
      <c r="K156" s="118">
        <f>K150+K154</f>
        <v>0</v>
      </c>
      <c r="L156" s="117">
        <v>0</v>
      </c>
      <c r="M156" s="107" t="s">
        <v>169</v>
      </c>
      <c r="N156" s="107">
        <f t="shared" si="26"/>
        <v>105511.69999999998</v>
      </c>
      <c r="O156" s="78">
        <v>0</v>
      </c>
      <c r="P156" s="80"/>
    </row>
    <row r="157" spans="1:16" s="72" customFormat="1" ht="23.25">
      <c r="A157" s="121" t="s">
        <v>176</v>
      </c>
      <c r="B157" s="61">
        <v>6030</v>
      </c>
      <c r="C157" s="75">
        <v>1744.8</v>
      </c>
      <c r="D157" s="76">
        <v>920.9</v>
      </c>
      <c r="E157" s="76">
        <v>1328.1</v>
      </c>
      <c r="F157" s="78"/>
      <c r="G157" s="78">
        <v>2016.7</v>
      </c>
      <c r="H157" s="78">
        <v>0</v>
      </c>
      <c r="I157" s="78"/>
      <c r="J157" s="78"/>
      <c r="K157" s="78"/>
      <c r="L157" s="76">
        <v>0</v>
      </c>
      <c r="M157" s="107" t="s">
        <v>169</v>
      </c>
      <c r="N157" s="107">
        <f t="shared" si="26"/>
        <v>407.19999999999993</v>
      </c>
      <c r="O157" s="78">
        <v>0</v>
      </c>
      <c r="P157" s="80"/>
    </row>
    <row r="158" spans="1:16" s="72" customFormat="1" ht="23.25">
      <c r="A158" s="121" t="s">
        <v>177</v>
      </c>
      <c r="B158" s="61">
        <v>6040</v>
      </c>
      <c r="C158" s="75">
        <v>29061</v>
      </c>
      <c r="D158" s="76">
        <v>30853.4</v>
      </c>
      <c r="E158" s="76">
        <v>47730.6</v>
      </c>
      <c r="F158" s="78"/>
      <c r="G158" s="78">
        <v>35019.4</v>
      </c>
      <c r="H158" s="78">
        <v>0</v>
      </c>
      <c r="I158" s="78"/>
      <c r="J158" s="78"/>
      <c r="K158" s="78"/>
      <c r="L158" s="76">
        <v>0</v>
      </c>
      <c r="M158" s="107" t="s">
        <v>169</v>
      </c>
      <c r="N158" s="107">
        <f t="shared" si="26"/>
        <v>16877.199999999997</v>
      </c>
      <c r="O158" s="78">
        <v>0</v>
      </c>
      <c r="P158" s="80"/>
    </row>
    <row r="159" spans="1:16" s="72" customFormat="1" ht="23.25">
      <c r="A159" s="95" t="s">
        <v>178</v>
      </c>
      <c r="B159" s="61">
        <v>6050</v>
      </c>
      <c r="C159" s="83">
        <f>SUM(C157:C158)</f>
        <v>30805.8</v>
      </c>
      <c r="D159" s="84">
        <f>SUM(D157:D158)</f>
        <v>31774.300000000003</v>
      </c>
      <c r="E159" s="85">
        <f>SUM(E157:E158)</f>
        <v>49058.7</v>
      </c>
      <c r="F159" s="85"/>
      <c r="G159" s="85">
        <f aca="true" t="shared" si="27" ref="G159:L159">SUM(G157:G158)</f>
        <v>37036.1</v>
      </c>
      <c r="H159" s="85">
        <f t="shared" si="27"/>
        <v>0</v>
      </c>
      <c r="I159" s="85">
        <f t="shared" si="27"/>
        <v>0</v>
      </c>
      <c r="J159" s="85">
        <f t="shared" si="27"/>
        <v>0</v>
      </c>
      <c r="K159" s="85">
        <f t="shared" si="27"/>
        <v>0</v>
      </c>
      <c r="L159" s="84">
        <f t="shared" si="27"/>
        <v>0</v>
      </c>
      <c r="M159" s="107" t="s">
        <v>169</v>
      </c>
      <c r="N159" s="107">
        <f t="shared" si="26"/>
        <v>17284.399999999994</v>
      </c>
      <c r="O159" s="78">
        <v>0</v>
      </c>
      <c r="P159" s="80"/>
    </row>
    <row r="160" spans="1:16" s="72" customFormat="1" ht="23.25">
      <c r="A160" s="121" t="s">
        <v>179</v>
      </c>
      <c r="B160" s="61">
        <v>6060</v>
      </c>
      <c r="C160" s="75">
        <v>0</v>
      </c>
      <c r="D160" s="76">
        <v>0</v>
      </c>
      <c r="E160" s="78">
        <v>0</v>
      </c>
      <c r="F160" s="78"/>
      <c r="G160" s="78">
        <v>0</v>
      </c>
      <c r="H160" s="78">
        <v>0</v>
      </c>
      <c r="I160" s="78"/>
      <c r="J160" s="78"/>
      <c r="K160" s="78"/>
      <c r="L160" s="76">
        <v>0</v>
      </c>
      <c r="M160" s="107" t="s">
        <v>169</v>
      </c>
      <c r="N160" s="107">
        <f t="shared" si="26"/>
        <v>0</v>
      </c>
      <c r="O160" s="78">
        <v>0</v>
      </c>
      <c r="P160" s="80"/>
    </row>
    <row r="161" spans="1:16" s="72" customFormat="1" ht="23.25">
      <c r="A161" s="121" t="s">
        <v>180</v>
      </c>
      <c r="B161" s="61">
        <v>6070</v>
      </c>
      <c r="C161" s="75">
        <v>0</v>
      </c>
      <c r="D161" s="76">
        <v>0</v>
      </c>
      <c r="E161" s="78">
        <v>0</v>
      </c>
      <c r="F161" s="78"/>
      <c r="G161" s="78">
        <v>0</v>
      </c>
      <c r="H161" s="78">
        <v>0</v>
      </c>
      <c r="I161" s="78"/>
      <c r="J161" s="78"/>
      <c r="K161" s="78"/>
      <c r="L161" s="76">
        <v>0</v>
      </c>
      <c r="M161" s="107" t="s">
        <v>169</v>
      </c>
      <c r="N161" s="107">
        <f t="shared" si="26"/>
        <v>0</v>
      </c>
      <c r="O161" s="78">
        <v>0</v>
      </c>
      <c r="P161" s="80"/>
    </row>
    <row r="162" spans="1:16" s="72" customFormat="1" ht="23.25">
      <c r="A162" s="95" t="s">
        <v>181</v>
      </c>
      <c r="B162" s="61">
        <v>6080</v>
      </c>
      <c r="C162" s="116">
        <v>32021.4</v>
      </c>
      <c r="D162" s="117">
        <v>35288.8</v>
      </c>
      <c r="E162" s="117">
        <v>105759.2</v>
      </c>
      <c r="F162" s="118"/>
      <c r="G162" s="118">
        <v>89556.1</v>
      </c>
      <c r="H162" s="118">
        <v>0</v>
      </c>
      <c r="I162" s="118"/>
      <c r="J162" s="118"/>
      <c r="K162" s="118"/>
      <c r="L162" s="117">
        <v>0</v>
      </c>
      <c r="M162" s="107" t="s">
        <v>169</v>
      </c>
      <c r="N162" s="107">
        <f t="shared" si="26"/>
        <v>70470.4</v>
      </c>
      <c r="O162" s="78">
        <v>0</v>
      </c>
      <c r="P162" s="80"/>
    </row>
    <row r="163" spans="1:16" s="72" customFormat="1" ht="24" customHeight="1" hidden="1">
      <c r="A163" s="356" t="s">
        <v>182</v>
      </c>
      <c r="B163" s="356"/>
      <c r="C163" s="356"/>
      <c r="D163" s="356"/>
      <c r="E163" s="356"/>
      <c r="F163" s="356"/>
      <c r="G163" s="356"/>
      <c r="H163" s="356"/>
      <c r="I163" s="356"/>
      <c r="J163" s="356"/>
      <c r="K163" s="356"/>
      <c r="L163" s="356"/>
      <c r="M163" s="356"/>
      <c r="N163" s="356"/>
      <c r="O163" s="356"/>
      <c r="P163" s="80"/>
    </row>
    <row r="164" spans="1:16" s="72" customFormat="1" ht="45" hidden="1">
      <c r="A164" s="123" t="s">
        <v>183</v>
      </c>
      <c r="B164" s="154" t="s">
        <v>184</v>
      </c>
      <c r="C164" s="155">
        <f>SUM(C165:C167)</f>
        <v>0</v>
      </c>
      <c r="D164" s="118">
        <f>SUM(D165:D167)</f>
        <v>0</v>
      </c>
      <c r="E164" s="156">
        <f>SUM(E165:E167)</f>
        <v>0</v>
      </c>
      <c r="F164" s="156"/>
      <c r="G164" s="156"/>
      <c r="H164" s="156"/>
      <c r="I164" s="156"/>
      <c r="J164" s="156"/>
      <c r="K164" s="156"/>
      <c r="L164" s="157"/>
      <c r="M164" s="156"/>
      <c r="N164" s="158"/>
      <c r="O164" s="159" t="e">
        <f aca="true" t="shared" si="28" ref="O164:O171">M164/L164%</f>
        <v>#DIV/0!</v>
      </c>
      <c r="P164" s="80"/>
    </row>
    <row r="165" spans="1:16" s="72" customFormat="1" ht="23.25" hidden="1">
      <c r="A165" s="121" t="s">
        <v>185</v>
      </c>
      <c r="B165" s="160" t="s">
        <v>186</v>
      </c>
      <c r="C165" s="161"/>
      <c r="D165" s="107"/>
      <c r="E165" s="162"/>
      <c r="F165" s="162"/>
      <c r="G165" s="162"/>
      <c r="H165" s="159"/>
      <c r="I165" s="162"/>
      <c r="J165" s="162"/>
      <c r="K165" s="162"/>
      <c r="L165" s="163"/>
      <c r="M165" s="159"/>
      <c r="N165" s="164"/>
      <c r="O165" s="159" t="e">
        <f t="shared" si="28"/>
        <v>#DIV/0!</v>
      </c>
      <c r="P165" s="80"/>
    </row>
    <row r="166" spans="1:16" s="72" customFormat="1" ht="23.25" hidden="1">
      <c r="A166" s="121" t="s">
        <v>187</v>
      </c>
      <c r="B166" s="160" t="s">
        <v>188</v>
      </c>
      <c r="C166" s="161"/>
      <c r="D166" s="107"/>
      <c r="E166" s="162"/>
      <c r="F166" s="162"/>
      <c r="G166" s="162"/>
      <c r="H166" s="159"/>
      <c r="I166" s="162"/>
      <c r="J166" s="162"/>
      <c r="K166" s="162"/>
      <c r="L166" s="163"/>
      <c r="M166" s="159"/>
      <c r="N166" s="164"/>
      <c r="O166" s="159" t="e">
        <f t="shared" si="28"/>
        <v>#DIV/0!</v>
      </c>
      <c r="P166" s="80"/>
    </row>
    <row r="167" spans="1:16" s="72" customFormat="1" ht="23.25" hidden="1">
      <c r="A167" s="121" t="s">
        <v>189</v>
      </c>
      <c r="B167" s="160" t="s">
        <v>190</v>
      </c>
      <c r="C167" s="161"/>
      <c r="D167" s="107"/>
      <c r="E167" s="162"/>
      <c r="F167" s="162"/>
      <c r="G167" s="162"/>
      <c r="H167" s="159"/>
      <c r="I167" s="162"/>
      <c r="J167" s="162"/>
      <c r="K167" s="162"/>
      <c r="L167" s="163"/>
      <c r="M167" s="159"/>
      <c r="N167" s="164"/>
      <c r="O167" s="159" t="e">
        <f t="shared" si="28"/>
        <v>#DIV/0!</v>
      </c>
      <c r="P167" s="80"/>
    </row>
    <row r="168" spans="1:16" s="72" customFormat="1" ht="45" hidden="1">
      <c r="A168" s="95" t="s">
        <v>191</v>
      </c>
      <c r="B168" s="160" t="s">
        <v>192</v>
      </c>
      <c r="C168" s="165">
        <f>SUM(C169:C171)</f>
        <v>0</v>
      </c>
      <c r="D168" s="85">
        <f>SUM(D169:D171)</f>
        <v>0</v>
      </c>
      <c r="E168" s="166">
        <f>SUM(E169:E171)</f>
        <v>0</v>
      </c>
      <c r="F168" s="166"/>
      <c r="G168" s="166"/>
      <c r="H168" s="166"/>
      <c r="I168" s="166"/>
      <c r="J168" s="166"/>
      <c r="K168" s="166"/>
      <c r="L168" s="167"/>
      <c r="M168" s="166"/>
      <c r="N168" s="168"/>
      <c r="O168" s="159" t="e">
        <f t="shared" si="28"/>
        <v>#DIV/0!</v>
      </c>
      <c r="P168" s="80"/>
    </row>
    <row r="169" spans="1:16" s="72" customFormat="1" ht="23.25" hidden="1">
      <c r="A169" s="121" t="s">
        <v>185</v>
      </c>
      <c r="B169" s="160" t="s">
        <v>193</v>
      </c>
      <c r="C169" s="161"/>
      <c r="D169" s="107"/>
      <c r="E169" s="162"/>
      <c r="F169" s="162"/>
      <c r="G169" s="162"/>
      <c r="H169" s="159"/>
      <c r="I169" s="162"/>
      <c r="J169" s="162"/>
      <c r="K169" s="162"/>
      <c r="L169" s="163"/>
      <c r="M169" s="159"/>
      <c r="N169" s="164"/>
      <c r="O169" s="159" t="e">
        <f t="shared" si="28"/>
        <v>#DIV/0!</v>
      </c>
      <c r="P169" s="80"/>
    </row>
    <row r="170" spans="1:16" s="72" customFormat="1" ht="23.25" hidden="1">
      <c r="A170" s="121" t="s">
        <v>187</v>
      </c>
      <c r="B170" s="160" t="s">
        <v>194</v>
      </c>
      <c r="C170" s="161"/>
      <c r="D170" s="107"/>
      <c r="E170" s="162"/>
      <c r="F170" s="162"/>
      <c r="G170" s="162"/>
      <c r="H170" s="159"/>
      <c r="I170" s="162"/>
      <c r="J170" s="162"/>
      <c r="K170" s="162"/>
      <c r="L170" s="163"/>
      <c r="M170" s="159"/>
      <c r="N170" s="164"/>
      <c r="O170" s="159" t="e">
        <f t="shared" si="28"/>
        <v>#DIV/0!</v>
      </c>
      <c r="P170" s="80"/>
    </row>
    <row r="171" spans="1:16" s="72" customFormat="1" ht="23.25" hidden="1">
      <c r="A171" s="144" t="s">
        <v>189</v>
      </c>
      <c r="B171" s="169" t="s">
        <v>195</v>
      </c>
      <c r="C171" s="161"/>
      <c r="D171" s="107"/>
      <c r="E171" s="162"/>
      <c r="F171" s="162"/>
      <c r="G171" s="162"/>
      <c r="H171" s="159"/>
      <c r="I171" s="162"/>
      <c r="J171" s="162"/>
      <c r="K171" s="162"/>
      <c r="L171" s="163"/>
      <c r="M171" s="159"/>
      <c r="N171" s="164"/>
      <c r="O171" s="159" t="e">
        <f t="shared" si="28"/>
        <v>#DIV/0!</v>
      </c>
      <c r="P171" s="80"/>
    </row>
    <row r="172" spans="1:16" s="72" customFormat="1" ht="24" customHeight="1">
      <c r="A172" s="352" t="s">
        <v>196</v>
      </c>
      <c r="B172" s="352"/>
      <c r="C172" s="352"/>
      <c r="D172" s="352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80"/>
    </row>
    <row r="173" spans="1:16" s="72" customFormat="1" ht="60">
      <c r="A173" s="170" t="s">
        <v>197</v>
      </c>
      <c r="B173" s="171" t="s">
        <v>198</v>
      </c>
      <c r="C173" s="172">
        <v>962</v>
      </c>
      <c r="D173" s="107" t="s">
        <v>169</v>
      </c>
      <c r="E173" s="107" t="s">
        <v>169</v>
      </c>
      <c r="F173" s="107"/>
      <c r="G173" s="107"/>
      <c r="H173" s="173">
        <v>955</v>
      </c>
      <c r="I173" s="107">
        <v>990</v>
      </c>
      <c r="J173" s="107"/>
      <c r="K173" s="107"/>
      <c r="L173" s="174">
        <f>L174+L175+L176</f>
        <v>1013</v>
      </c>
      <c r="M173" s="174">
        <f>M174+M175+M176</f>
        <v>991</v>
      </c>
      <c r="N173" s="175">
        <f aca="true" t="shared" si="29" ref="N173:N181">M173-L173</f>
        <v>-22</v>
      </c>
      <c r="O173" s="78">
        <f aca="true" t="shared" si="30" ref="O173:O181">M173/L173%</f>
        <v>97.82823297137216</v>
      </c>
      <c r="P173" s="80"/>
    </row>
    <row r="174" spans="1:15" s="72" customFormat="1" ht="23.25">
      <c r="A174" s="89" t="s">
        <v>199</v>
      </c>
      <c r="B174" s="171" t="s">
        <v>200</v>
      </c>
      <c r="C174" s="176">
        <v>1</v>
      </c>
      <c r="D174" s="107" t="s">
        <v>169</v>
      </c>
      <c r="E174" s="107" t="s">
        <v>169</v>
      </c>
      <c r="F174" s="107"/>
      <c r="G174" s="107"/>
      <c r="H174" s="177">
        <v>1</v>
      </c>
      <c r="I174" s="107">
        <v>1</v>
      </c>
      <c r="J174" s="107"/>
      <c r="K174" s="107"/>
      <c r="L174" s="178">
        <v>1</v>
      </c>
      <c r="M174" s="178">
        <v>1</v>
      </c>
      <c r="N174" s="175">
        <f t="shared" si="29"/>
        <v>0</v>
      </c>
      <c r="O174" s="78">
        <f t="shared" si="30"/>
        <v>100</v>
      </c>
    </row>
    <row r="175" spans="1:15" s="72" customFormat="1" ht="23.25">
      <c r="A175" s="89" t="s">
        <v>201</v>
      </c>
      <c r="B175" s="171" t="s">
        <v>202</v>
      </c>
      <c r="C175" s="176">
        <v>30</v>
      </c>
      <c r="D175" s="107" t="s">
        <v>169</v>
      </c>
      <c r="E175" s="107" t="s">
        <v>169</v>
      </c>
      <c r="F175" s="107"/>
      <c r="G175" s="107"/>
      <c r="H175" s="177">
        <v>32</v>
      </c>
      <c r="I175" s="107">
        <v>35</v>
      </c>
      <c r="J175" s="107"/>
      <c r="K175" s="107"/>
      <c r="L175" s="178">
        <v>35</v>
      </c>
      <c r="M175" s="178">
        <v>35</v>
      </c>
      <c r="N175" s="175">
        <f t="shared" si="29"/>
        <v>0</v>
      </c>
      <c r="O175" s="78">
        <f t="shared" si="30"/>
        <v>100</v>
      </c>
    </row>
    <row r="176" spans="1:15" s="72" customFormat="1" ht="23.25">
      <c r="A176" s="89" t="s">
        <v>203</v>
      </c>
      <c r="B176" s="171" t="s">
        <v>204</v>
      </c>
      <c r="C176" s="176">
        <v>931</v>
      </c>
      <c r="D176" s="107" t="s">
        <v>169</v>
      </c>
      <c r="E176" s="107" t="s">
        <v>169</v>
      </c>
      <c r="F176" s="107"/>
      <c r="G176" s="107"/>
      <c r="H176" s="177">
        <v>922</v>
      </c>
      <c r="I176" s="107">
        <v>954</v>
      </c>
      <c r="J176" s="107"/>
      <c r="K176" s="107"/>
      <c r="L176" s="178">
        <v>977</v>
      </c>
      <c r="M176" s="178">
        <v>955</v>
      </c>
      <c r="N176" s="175">
        <f t="shared" si="29"/>
        <v>-22</v>
      </c>
      <c r="O176" s="78">
        <f t="shared" si="30"/>
        <v>97.7482088024565</v>
      </c>
    </row>
    <row r="177" spans="1:16" s="72" customFormat="1" ht="23.25">
      <c r="A177" s="170" t="s">
        <v>86</v>
      </c>
      <c r="B177" s="171" t="s">
        <v>205</v>
      </c>
      <c r="C177" s="83">
        <f>C74</f>
        <v>23582.9</v>
      </c>
      <c r="D177" s="107" t="s">
        <v>169</v>
      </c>
      <c r="E177" s="107" t="s">
        <v>169</v>
      </c>
      <c r="F177" s="107"/>
      <c r="G177" s="107"/>
      <c r="H177" s="85">
        <f aca="true" t="shared" si="31" ref="H177:M177">H74</f>
        <v>14796.3</v>
      </c>
      <c r="I177" s="85">
        <f t="shared" si="31"/>
        <v>18810.7</v>
      </c>
      <c r="J177" s="85">
        <f t="shared" si="31"/>
        <v>0</v>
      </c>
      <c r="K177" s="85">
        <f t="shared" si="31"/>
        <v>20773.9</v>
      </c>
      <c r="L177" s="179">
        <f t="shared" si="31"/>
        <v>22264.7</v>
      </c>
      <c r="M177" s="179">
        <f t="shared" si="31"/>
        <v>25114.30000000001</v>
      </c>
      <c r="N177" s="85">
        <f t="shared" si="29"/>
        <v>2849.6000000000095</v>
      </c>
      <c r="O177" s="78">
        <f t="shared" si="30"/>
        <v>112.79873521763153</v>
      </c>
      <c r="P177" s="180" t="s">
        <v>206</v>
      </c>
    </row>
    <row r="178" spans="1:16" s="72" customFormat="1" ht="63.75" customHeight="1">
      <c r="A178" s="170" t="s">
        <v>207</v>
      </c>
      <c r="B178" s="171" t="s">
        <v>208</v>
      </c>
      <c r="C178" s="83">
        <v>4087</v>
      </c>
      <c r="D178" s="107" t="s">
        <v>169</v>
      </c>
      <c r="E178" s="107" t="s">
        <v>169</v>
      </c>
      <c r="F178" s="107"/>
      <c r="G178" s="107"/>
      <c r="H178" s="85">
        <v>5165</v>
      </c>
      <c r="I178" s="107">
        <v>6334</v>
      </c>
      <c r="J178" s="107"/>
      <c r="K178" s="107"/>
      <c r="L178" s="179">
        <f>L177/L173/3*1000-0.3</f>
        <v>7326.024448831852</v>
      </c>
      <c r="M178" s="179">
        <f>M177/M173/3*1000-0.5</f>
        <v>8446.960477632027</v>
      </c>
      <c r="N178" s="78">
        <f t="shared" si="29"/>
        <v>1120.9360288001744</v>
      </c>
      <c r="O178" s="78">
        <f t="shared" si="30"/>
        <v>115.30074103122752</v>
      </c>
      <c r="P178" s="180" t="s">
        <v>206</v>
      </c>
    </row>
    <row r="179" spans="1:15" s="72" customFormat="1" ht="23.25">
      <c r="A179" s="89" t="s">
        <v>199</v>
      </c>
      <c r="B179" s="171" t="s">
        <v>209</v>
      </c>
      <c r="C179" s="106">
        <v>6025</v>
      </c>
      <c r="D179" s="107" t="s">
        <v>169</v>
      </c>
      <c r="E179" s="107" t="s">
        <v>169</v>
      </c>
      <c r="F179" s="107"/>
      <c r="G179" s="107"/>
      <c r="H179" s="78">
        <v>21947</v>
      </c>
      <c r="I179" s="107">
        <v>13067</v>
      </c>
      <c r="J179" s="107"/>
      <c r="K179" s="107"/>
      <c r="L179" s="181">
        <v>29433</v>
      </c>
      <c r="M179" s="181">
        <v>14493</v>
      </c>
      <c r="N179" s="78">
        <f t="shared" si="29"/>
        <v>-14940</v>
      </c>
      <c r="O179" s="78">
        <f t="shared" si="30"/>
        <v>49.240648251962085</v>
      </c>
    </row>
    <row r="180" spans="1:15" s="72" customFormat="1" ht="23.25">
      <c r="A180" s="89" t="s">
        <v>201</v>
      </c>
      <c r="B180" s="171" t="s">
        <v>210</v>
      </c>
      <c r="C180" s="106">
        <v>5225</v>
      </c>
      <c r="D180" s="107" t="s">
        <v>169</v>
      </c>
      <c r="E180" s="107" t="s">
        <v>169</v>
      </c>
      <c r="F180" s="107"/>
      <c r="G180" s="107"/>
      <c r="H180" s="78">
        <v>6465</v>
      </c>
      <c r="I180" s="107">
        <v>8770</v>
      </c>
      <c r="J180" s="107"/>
      <c r="K180" s="107"/>
      <c r="L180" s="181">
        <v>10162</v>
      </c>
      <c r="M180" s="181">
        <v>10105</v>
      </c>
      <c r="N180" s="78">
        <f t="shared" si="29"/>
        <v>-57</v>
      </c>
      <c r="O180" s="78">
        <f t="shared" si="30"/>
        <v>99.4390867939382</v>
      </c>
    </row>
    <row r="181" spans="1:15" s="72" customFormat="1" ht="23.25">
      <c r="A181" s="89" t="s">
        <v>203</v>
      </c>
      <c r="B181" s="171" t="s">
        <v>211</v>
      </c>
      <c r="C181" s="106">
        <v>4042</v>
      </c>
      <c r="D181" s="107" t="s">
        <v>169</v>
      </c>
      <c r="E181" s="107" t="s">
        <v>169</v>
      </c>
      <c r="F181" s="107"/>
      <c r="G181" s="107"/>
      <c r="H181" s="78">
        <v>5101</v>
      </c>
      <c r="I181" s="107">
        <v>6237</v>
      </c>
      <c r="J181" s="107"/>
      <c r="K181" s="107"/>
      <c r="L181" s="181">
        <v>7488</v>
      </c>
      <c r="M181" s="181">
        <v>8324</v>
      </c>
      <c r="N181" s="78">
        <f t="shared" si="29"/>
        <v>836</v>
      </c>
      <c r="O181" s="78">
        <f t="shared" si="30"/>
        <v>111.16452991452992</v>
      </c>
    </row>
    <row r="182" spans="1:15" s="72" customFormat="1" ht="23.25">
      <c r="A182" s="182"/>
      <c r="B182" s="183"/>
      <c r="C182" s="184"/>
      <c r="D182" s="185"/>
      <c r="E182" s="186"/>
      <c r="F182" s="186"/>
      <c r="G182" s="186"/>
      <c r="H182" s="186"/>
      <c r="I182" s="186"/>
      <c r="J182" s="186"/>
      <c r="K182" s="186"/>
      <c r="L182" s="187"/>
      <c r="M182" s="188"/>
      <c r="N182" s="188"/>
      <c r="O182" s="189"/>
    </row>
    <row r="183" spans="1:15" ht="44.25" customHeight="1">
      <c r="A183" s="182" t="s">
        <v>212</v>
      </c>
      <c r="B183" s="15"/>
      <c r="C183" s="358" t="s">
        <v>213</v>
      </c>
      <c r="D183" s="358"/>
      <c r="E183" s="358"/>
      <c r="F183" s="358"/>
      <c r="G183" s="358"/>
      <c r="H183" s="358"/>
      <c r="I183" s="358"/>
      <c r="J183" s="358"/>
      <c r="K183" s="358"/>
      <c r="L183" s="358"/>
      <c r="M183" s="358"/>
      <c r="N183" s="359"/>
      <c r="O183" s="359"/>
    </row>
    <row r="184" spans="1:16" s="191" customFormat="1" ht="23.25">
      <c r="A184" s="47" t="s">
        <v>214</v>
      </c>
      <c r="B184" s="7"/>
      <c r="C184" s="359" t="s">
        <v>215</v>
      </c>
      <c r="D184" s="359"/>
      <c r="E184" s="359"/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  <c r="P184" s="190"/>
    </row>
  </sheetData>
  <sheetProtection selectLockedCells="1" selectUnlockedCells="1"/>
  <autoFilter ref="A29:O181"/>
  <mergeCells count="41">
    <mergeCell ref="C184:M184"/>
    <mergeCell ref="N184:O184"/>
    <mergeCell ref="A143:O143"/>
    <mergeCell ref="A149:O149"/>
    <mergeCell ref="A163:O163"/>
    <mergeCell ref="A172:O172"/>
    <mergeCell ref="C183:M183"/>
    <mergeCell ref="N183:O183"/>
    <mergeCell ref="A30:O30"/>
    <mergeCell ref="A79:O79"/>
    <mergeCell ref="A80:O80"/>
    <mergeCell ref="A92:O92"/>
    <mergeCell ref="C106:O106"/>
    <mergeCell ref="A114:O114"/>
    <mergeCell ref="A23:O23"/>
    <mergeCell ref="A25:O25"/>
    <mergeCell ref="A27:A28"/>
    <mergeCell ref="B27:B28"/>
    <mergeCell ref="C27:E27"/>
    <mergeCell ref="F27:G27"/>
    <mergeCell ref="H27:I27"/>
    <mergeCell ref="J27:K27"/>
    <mergeCell ref="L27:O27"/>
    <mergeCell ref="B16:M16"/>
    <mergeCell ref="B17:M17"/>
    <mergeCell ref="B18:M18"/>
    <mergeCell ref="A20:O20"/>
    <mergeCell ref="A21:O21"/>
    <mergeCell ref="A22:O22"/>
    <mergeCell ref="B8:M8"/>
    <mergeCell ref="B9:M9"/>
    <mergeCell ref="B10:M10"/>
    <mergeCell ref="B11:M11"/>
    <mergeCell ref="B12:M12"/>
    <mergeCell ref="B15:M15"/>
    <mergeCell ref="M1:O1"/>
    <mergeCell ref="M2:O2"/>
    <mergeCell ref="M3:O3"/>
    <mergeCell ref="M4:O4"/>
    <mergeCell ref="B6:L6"/>
    <mergeCell ref="B7:M7"/>
  </mergeCells>
  <printOptions/>
  <pageMargins left="0.6722222222222223" right="0.21666666666666667" top="0.19444444444444445" bottom="0.21736111111111112" header="0" footer="0.5118055555555555"/>
  <pageSetup fitToHeight="3" fitToWidth="1" horizontalDpi="300" verticalDpi="300" orientation="portrait" paperSize="9"/>
  <headerFooter alignWithMargins="0">
    <oddHeader>&amp;C&amp;"Times New Roman,Обычный"&amp;14 &amp;P&amp;R&amp;"Times New Roman,Обычный"&amp;14Продовження додатка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="60" zoomScaleNormal="60" zoomScaleSheetLayoutView="50" zoomScalePageLayoutView="0" workbookViewId="0" topLeftCell="A1">
      <pane xSplit="5" topLeftCell="F1" activePane="topRight" state="frozen"/>
      <selection pane="topLeft" activeCell="A1" sqref="A1"/>
      <selection pane="topRight" activeCell="H39" sqref="H39"/>
    </sheetView>
  </sheetViews>
  <sheetFormatPr defaultColWidth="11.625" defaultRowHeight="12.75" outlineLevelRow="1"/>
  <cols>
    <col min="1" max="1" width="78.25390625" style="0" customWidth="1"/>
    <col min="2" max="2" width="16.75390625" style="0" customWidth="1"/>
    <col min="3" max="5" width="0" style="0" hidden="1" customWidth="1"/>
    <col min="6" max="6" width="20.25390625" style="0" customWidth="1"/>
    <col min="7" max="7" width="20.00390625" style="0" customWidth="1"/>
    <col min="8" max="8" width="13.375" style="0" customWidth="1"/>
    <col min="9" max="9" width="13.25390625" style="0" customWidth="1"/>
    <col min="10" max="10" width="14.75390625" style="0" customWidth="1"/>
  </cols>
  <sheetData>
    <row r="1" spans="1:10" ht="23.25">
      <c r="A1" s="1"/>
      <c r="B1" s="360" t="s">
        <v>216</v>
      </c>
      <c r="C1" s="360"/>
      <c r="D1" s="360"/>
      <c r="E1" s="360"/>
      <c r="F1" s="360"/>
      <c r="G1" s="360"/>
      <c r="H1" s="360"/>
      <c r="I1" s="360"/>
      <c r="J1" s="360"/>
    </row>
    <row r="2" spans="1:10" ht="18.75" customHeight="1" outlineLevel="1">
      <c r="A2" s="1"/>
      <c r="B2" s="2"/>
      <c r="C2" s="192"/>
      <c r="D2" s="192"/>
      <c r="E2" s="361" t="s">
        <v>217</v>
      </c>
      <c r="F2" s="361"/>
      <c r="G2" s="361"/>
      <c r="H2" s="361"/>
      <c r="I2" s="361"/>
      <c r="J2" s="361"/>
    </row>
    <row r="3" spans="1:10" ht="18.75" outlineLevel="1">
      <c r="A3" s="1"/>
      <c r="B3" s="2"/>
      <c r="C3" s="192"/>
      <c r="D3" s="192"/>
      <c r="E3" s="361"/>
      <c r="F3" s="361"/>
      <c r="G3" s="361"/>
      <c r="H3" s="361"/>
      <c r="I3" s="361"/>
      <c r="J3" s="361"/>
    </row>
    <row r="4" spans="1:10" ht="18.75" outlineLevel="1">
      <c r="A4" s="1"/>
      <c r="B4" s="193"/>
      <c r="C4" s="194"/>
      <c r="D4" s="195"/>
      <c r="E4" s="361"/>
      <c r="F4" s="361"/>
      <c r="G4" s="361"/>
      <c r="H4" s="361"/>
      <c r="I4" s="361"/>
      <c r="J4" s="361"/>
    </row>
    <row r="5" spans="1:10" ht="18.75" outlineLevel="1">
      <c r="A5" s="1"/>
      <c r="B5" s="2"/>
      <c r="C5" s="192"/>
      <c r="D5" s="192"/>
      <c r="E5" s="361"/>
      <c r="F5" s="361"/>
      <c r="G5" s="361"/>
      <c r="H5" s="361"/>
      <c r="I5" s="361"/>
      <c r="J5" s="361"/>
    </row>
    <row r="6" spans="1:10" ht="18.75" outlineLevel="1">
      <c r="A6" s="1"/>
      <c r="B6" s="2"/>
      <c r="C6" s="192"/>
      <c r="D6" s="192"/>
      <c r="E6" s="192"/>
      <c r="F6" s="44"/>
      <c r="G6" s="196"/>
      <c r="H6" s="196"/>
      <c r="I6" s="196"/>
      <c r="J6" s="196"/>
    </row>
    <row r="7" spans="1:10" ht="18.75" customHeight="1" outlineLevel="1">
      <c r="A7" s="197"/>
      <c r="B7" s="193"/>
      <c r="C7" s="194"/>
      <c r="D7" s="195"/>
      <c r="E7" s="362" t="s">
        <v>218</v>
      </c>
      <c r="F7" s="362"/>
      <c r="G7" s="198"/>
      <c r="H7" s="198"/>
      <c r="I7" s="198"/>
      <c r="J7" s="198"/>
    </row>
    <row r="8" spans="1:10" ht="35.25" customHeight="1" outlineLevel="1">
      <c r="A8" s="363"/>
      <c r="B8" s="363"/>
      <c r="C8" s="194"/>
      <c r="D8" s="195"/>
      <c r="E8" s="364" t="s">
        <v>219</v>
      </c>
      <c r="F8" s="364"/>
      <c r="G8" s="364"/>
      <c r="H8" s="364"/>
      <c r="I8" s="364"/>
      <c r="J8" s="364"/>
    </row>
    <row r="9" spans="1:10" ht="16.5" customHeight="1" outlineLevel="1">
      <c r="A9" s="365"/>
      <c r="B9" s="365"/>
      <c r="C9" s="194"/>
      <c r="D9" s="200"/>
      <c r="E9" s="366" t="s">
        <v>220</v>
      </c>
      <c r="F9" s="366"/>
      <c r="G9" s="366"/>
      <c r="H9" s="366"/>
      <c r="I9" s="366"/>
      <c r="J9" s="366"/>
    </row>
    <row r="10" spans="1:10" ht="18.75" outlineLevel="1">
      <c r="A10" s="199"/>
      <c r="B10" s="199"/>
      <c r="C10" s="201"/>
      <c r="D10" s="202"/>
      <c r="E10" s="203"/>
      <c r="F10" s="204"/>
      <c r="G10" s="205" t="s">
        <v>221</v>
      </c>
      <c r="H10" s="205"/>
      <c r="I10" s="205"/>
      <c r="J10" s="205"/>
    </row>
    <row r="11" spans="1:10" ht="16.5" customHeight="1" outlineLevel="1">
      <c r="A11" s="367"/>
      <c r="B11" s="367"/>
      <c r="C11" s="206"/>
      <c r="D11" s="206"/>
      <c r="E11" s="368" t="s">
        <v>222</v>
      </c>
      <c r="F11" s="368"/>
      <c r="G11" s="368"/>
      <c r="H11" s="368"/>
      <c r="I11" s="368"/>
      <c r="J11" s="368"/>
    </row>
    <row r="12" spans="1:10" ht="18.75" customHeight="1" outlineLevel="1">
      <c r="A12" s="365"/>
      <c r="B12" s="365"/>
      <c r="C12" s="194"/>
      <c r="D12" s="195"/>
      <c r="E12" s="203"/>
      <c r="F12" s="204"/>
      <c r="G12" s="1"/>
      <c r="H12" s="1"/>
      <c r="I12" s="1"/>
      <c r="J12" s="1"/>
    </row>
    <row r="13" spans="1:10" ht="18.75" customHeight="1" outlineLevel="1">
      <c r="A13" s="365"/>
      <c r="B13" s="365"/>
      <c r="C13" s="194"/>
      <c r="D13" s="194"/>
      <c r="E13" s="207"/>
      <c r="F13" s="208" t="s">
        <v>223</v>
      </c>
      <c r="G13" s="1"/>
      <c r="H13" s="1"/>
      <c r="I13" s="1"/>
      <c r="J13" s="1"/>
    </row>
    <row r="14" spans="1:10" ht="16.5" customHeight="1" outlineLevel="1">
      <c r="A14" s="365"/>
      <c r="B14" s="365"/>
      <c r="C14" s="194"/>
      <c r="D14" s="194"/>
      <c r="E14" s="194"/>
      <c r="F14" s="200"/>
      <c r="G14" s="369"/>
      <c r="H14" s="369"/>
      <c r="I14" s="369"/>
      <c r="J14" s="369"/>
    </row>
    <row r="15" spans="1:10" ht="16.5" customHeight="1" outlineLevel="1">
      <c r="A15" s="209"/>
      <c r="B15" s="370"/>
      <c r="C15" s="370"/>
      <c r="D15" s="370"/>
      <c r="E15" s="370"/>
      <c r="F15" s="370"/>
      <c r="G15" s="210"/>
      <c r="H15" s="211"/>
      <c r="I15" s="212" t="s">
        <v>4</v>
      </c>
      <c r="J15" s="213" t="s">
        <v>5</v>
      </c>
    </row>
    <row r="16" spans="1:10" ht="17.25" customHeight="1" outlineLevel="1">
      <c r="A16" s="214" t="s">
        <v>6</v>
      </c>
      <c r="B16" s="370"/>
      <c r="C16" s="370"/>
      <c r="D16" s="370"/>
      <c r="E16" s="370"/>
      <c r="F16" s="370"/>
      <c r="G16" s="215"/>
      <c r="H16" s="216"/>
      <c r="I16" s="217" t="s">
        <v>7</v>
      </c>
      <c r="J16" s="213">
        <v>34811465</v>
      </c>
    </row>
    <row r="17" spans="1:10" ht="17.25" customHeight="1" outlineLevel="1">
      <c r="A17" s="214" t="s">
        <v>8</v>
      </c>
      <c r="B17" s="370"/>
      <c r="C17" s="370"/>
      <c r="D17" s="370"/>
      <c r="E17" s="370"/>
      <c r="F17" s="370"/>
      <c r="G17" s="210"/>
      <c r="H17" s="211"/>
      <c r="I17" s="217" t="s">
        <v>9</v>
      </c>
      <c r="J17" s="213">
        <v>150</v>
      </c>
    </row>
    <row r="18" spans="1:10" ht="17.25" customHeight="1" outlineLevel="1">
      <c r="A18" s="214" t="s">
        <v>10</v>
      </c>
      <c r="B18" s="370"/>
      <c r="C18" s="370"/>
      <c r="D18" s="370"/>
      <c r="E18" s="370"/>
      <c r="F18" s="370"/>
      <c r="G18" s="210"/>
      <c r="H18" s="211"/>
      <c r="I18" s="217" t="s">
        <v>11</v>
      </c>
      <c r="J18" s="213">
        <v>1211000000</v>
      </c>
    </row>
    <row r="19" spans="1:10" ht="15.75" outlineLevel="1">
      <c r="A19" s="214" t="s">
        <v>12</v>
      </c>
      <c r="B19" s="370"/>
      <c r="C19" s="370"/>
      <c r="D19" s="370"/>
      <c r="E19" s="370"/>
      <c r="F19" s="370"/>
      <c r="G19" s="215"/>
      <c r="H19" s="216"/>
      <c r="I19" s="217" t="s">
        <v>13</v>
      </c>
      <c r="J19" s="213"/>
    </row>
    <row r="20" spans="1:10" ht="15.75" outlineLevel="1">
      <c r="A20" s="214" t="s">
        <v>14</v>
      </c>
      <c r="B20" s="370"/>
      <c r="C20" s="370"/>
      <c r="D20" s="370"/>
      <c r="E20" s="370"/>
      <c r="F20" s="370"/>
      <c r="G20" s="215"/>
      <c r="H20" s="216"/>
      <c r="I20" s="217" t="s">
        <v>15</v>
      </c>
      <c r="J20" s="213"/>
    </row>
    <row r="21" spans="1:10" ht="31.5" outlineLevel="1">
      <c r="A21" s="214" t="s">
        <v>16</v>
      </c>
      <c r="B21" s="370"/>
      <c r="C21" s="370"/>
      <c r="D21" s="370"/>
      <c r="E21" s="370"/>
      <c r="F21" s="370"/>
      <c r="G21" s="215"/>
      <c r="H21" s="218"/>
      <c r="I21" s="219" t="s">
        <v>17</v>
      </c>
      <c r="J21" s="213" t="s">
        <v>18</v>
      </c>
    </row>
    <row r="22" spans="1:10" ht="17.25" customHeight="1" outlineLevel="1">
      <c r="A22" s="214" t="s">
        <v>224</v>
      </c>
      <c r="B22" s="371" t="s">
        <v>20</v>
      </c>
      <c r="C22" s="371"/>
      <c r="D22" s="371"/>
      <c r="E22" s="371"/>
      <c r="F22" s="371"/>
      <c r="G22" s="371"/>
      <c r="H22" s="371"/>
      <c r="I22" s="371"/>
      <c r="J22" s="220"/>
    </row>
    <row r="23" spans="1:10" ht="17.25" customHeight="1" outlineLevel="1">
      <c r="A23" s="214" t="s">
        <v>21</v>
      </c>
      <c r="B23" s="370"/>
      <c r="C23" s="370"/>
      <c r="D23" s="370"/>
      <c r="E23" s="370"/>
      <c r="F23" s="370"/>
      <c r="G23" s="372" t="s">
        <v>22</v>
      </c>
      <c r="H23" s="372"/>
      <c r="I23" s="372"/>
      <c r="J23" s="220"/>
    </row>
    <row r="24" spans="1:10" ht="15.75" outlineLevel="1">
      <c r="A24" s="214" t="s">
        <v>225</v>
      </c>
      <c r="B24" s="370"/>
      <c r="C24" s="370"/>
      <c r="D24" s="370"/>
      <c r="E24" s="370"/>
      <c r="F24" s="370"/>
      <c r="G24" s="215"/>
      <c r="H24" s="215"/>
      <c r="I24" s="215"/>
      <c r="J24" s="216"/>
    </row>
    <row r="25" spans="1:10" ht="31.5" outlineLevel="1">
      <c r="A25" s="214" t="s">
        <v>226</v>
      </c>
      <c r="B25" s="370"/>
      <c r="C25" s="370"/>
      <c r="D25" s="370"/>
      <c r="E25" s="370"/>
      <c r="F25" s="370"/>
      <c r="G25" s="210"/>
      <c r="H25" s="210"/>
      <c r="I25" s="210"/>
      <c r="J25" s="211"/>
    </row>
    <row r="26" spans="1:10" ht="15.75" outlineLevel="1">
      <c r="A26" s="214" t="s">
        <v>25</v>
      </c>
      <c r="B26" s="370"/>
      <c r="C26" s="370"/>
      <c r="D26" s="370"/>
      <c r="E26" s="370"/>
      <c r="F26" s="370"/>
      <c r="G26" s="215"/>
      <c r="H26" s="215"/>
      <c r="I26" s="215"/>
      <c r="J26" s="216"/>
    </row>
    <row r="27" spans="1:10" ht="17.25" customHeight="1" outlineLevel="1">
      <c r="A27" s="214" t="s">
        <v>26</v>
      </c>
      <c r="B27" s="370"/>
      <c r="C27" s="370"/>
      <c r="D27" s="370"/>
      <c r="E27" s="370"/>
      <c r="F27" s="370"/>
      <c r="G27" s="210"/>
      <c r="H27" s="210"/>
      <c r="I27" s="210"/>
      <c r="J27" s="211"/>
    </row>
    <row r="28" spans="1:10" ht="18.75" outlineLevel="1">
      <c r="A28" s="373" t="s">
        <v>227</v>
      </c>
      <c r="B28" s="373"/>
      <c r="C28" s="373"/>
      <c r="D28" s="373"/>
      <c r="E28" s="373"/>
      <c r="F28" s="373"/>
      <c r="G28" s="373"/>
      <c r="H28" s="373"/>
      <c r="I28" s="373"/>
      <c r="J28" s="373"/>
    </row>
    <row r="29" spans="1:10" ht="18.75" outlineLevel="1">
      <c r="A29" s="80"/>
      <c r="B29" s="80"/>
      <c r="C29" s="91"/>
      <c r="D29" s="91"/>
      <c r="E29" s="91"/>
      <c r="F29" s="91"/>
      <c r="G29" s="91"/>
      <c r="H29" s="91"/>
      <c r="I29" s="91"/>
      <c r="J29" s="91"/>
    </row>
    <row r="30" spans="1:10" ht="18.75" customHeight="1" outlineLevel="1">
      <c r="A30" s="373" t="s">
        <v>30</v>
      </c>
      <c r="B30" s="373"/>
      <c r="C30" s="373"/>
      <c r="D30" s="373"/>
      <c r="E30" s="373"/>
      <c r="F30" s="373"/>
      <c r="G30" s="373"/>
      <c r="H30" s="373"/>
      <c r="I30" s="373"/>
      <c r="J30" s="373"/>
    </row>
    <row r="31" spans="1:10" ht="18.75" outlineLevel="1">
      <c r="A31" s="1"/>
      <c r="B31" s="221"/>
      <c r="C31" s="222"/>
      <c r="D31" s="223"/>
      <c r="E31" s="223"/>
      <c r="F31" s="223"/>
      <c r="G31" s="223"/>
      <c r="H31" s="223"/>
      <c r="I31" s="223"/>
      <c r="J31" s="223"/>
    </row>
    <row r="32" spans="1:10" ht="33" customHeight="1">
      <c r="A32" s="374" t="s">
        <v>31</v>
      </c>
      <c r="B32" s="375" t="s">
        <v>32</v>
      </c>
      <c r="C32" s="376" t="s">
        <v>228</v>
      </c>
      <c r="D32" s="376" t="s">
        <v>229</v>
      </c>
      <c r="E32" s="377" t="s">
        <v>230</v>
      </c>
      <c r="F32" s="376" t="s">
        <v>231</v>
      </c>
      <c r="G32" s="376" t="s">
        <v>232</v>
      </c>
      <c r="H32" s="376"/>
      <c r="I32" s="376"/>
      <c r="J32" s="376"/>
    </row>
    <row r="33" spans="1:10" ht="15.75">
      <c r="A33" s="374"/>
      <c r="B33" s="375"/>
      <c r="C33" s="376"/>
      <c r="D33" s="376"/>
      <c r="E33" s="377"/>
      <c r="F33" s="376"/>
      <c r="G33" s="227" t="s">
        <v>233</v>
      </c>
      <c r="H33" s="227" t="s">
        <v>234</v>
      </c>
      <c r="I33" s="227" t="s">
        <v>235</v>
      </c>
      <c r="J33" s="227" t="s">
        <v>236</v>
      </c>
    </row>
    <row r="34" spans="1:10" ht="15.75">
      <c r="A34" s="224">
        <v>1</v>
      </c>
      <c r="B34" s="225">
        <v>2</v>
      </c>
      <c r="C34" s="226">
        <v>3</v>
      </c>
      <c r="D34" s="226">
        <v>4</v>
      </c>
      <c r="E34" s="226">
        <v>5</v>
      </c>
      <c r="F34" s="226">
        <v>6</v>
      </c>
      <c r="G34" s="226">
        <v>7</v>
      </c>
      <c r="H34" s="226">
        <v>8</v>
      </c>
      <c r="I34" s="226">
        <v>9</v>
      </c>
      <c r="J34" s="226">
        <v>10</v>
      </c>
    </row>
    <row r="35" spans="1:10" ht="17.25" customHeight="1">
      <c r="A35" s="378" t="s">
        <v>45</v>
      </c>
      <c r="B35" s="378"/>
      <c r="C35" s="378"/>
      <c r="D35" s="378"/>
      <c r="E35" s="378"/>
      <c r="F35" s="378"/>
      <c r="G35" s="378"/>
      <c r="H35" s="378"/>
      <c r="I35" s="378"/>
      <c r="J35" s="378"/>
    </row>
    <row r="36" spans="1:10" ht="18.75">
      <c r="A36" s="228" t="s">
        <v>237</v>
      </c>
      <c r="B36" s="229">
        <v>1000</v>
      </c>
      <c r="C36" s="230" t="e">
        <f>NA()</f>
        <v>#N/A</v>
      </c>
      <c r="D36" s="230" t="e">
        <f>NA()</f>
        <v>#N/A</v>
      </c>
      <c r="E36" s="230">
        <v>10200</v>
      </c>
      <c r="F36" s="230">
        <f>G36+H36+I36+J36</f>
        <v>19636</v>
      </c>
      <c r="G36" s="230">
        <v>4789.5</v>
      </c>
      <c r="H36" s="230">
        <v>5108.3</v>
      </c>
      <c r="I36" s="230">
        <v>4693.9</v>
      </c>
      <c r="J36" s="230">
        <v>5044.3</v>
      </c>
    </row>
    <row r="37" spans="1:10" ht="18.75">
      <c r="A37" s="228" t="s">
        <v>48</v>
      </c>
      <c r="B37" s="229">
        <v>1010</v>
      </c>
      <c r="C37" s="230" t="e">
        <f>NA()</f>
        <v>#N/A</v>
      </c>
      <c r="D37" s="230">
        <v>90349.1</v>
      </c>
      <c r="E37" s="230">
        <v>90359.7</v>
      </c>
      <c r="F37" s="230">
        <f>G37+H37+I37+J37</f>
        <v>102205.7</v>
      </c>
      <c r="G37" s="230">
        <v>27538.6</v>
      </c>
      <c r="H37" s="230">
        <v>26169.4</v>
      </c>
      <c r="I37" s="230">
        <v>23938.9</v>
      </c>
      <c r="J37" s="230">
        <v>24558.8</v>
      </c>
    </row>
    <row r="38" spans="1:10" ht="18.75">
      <c r="A38" s="231" t="s">
        <v>49</v>
      </c>
      <c r="B38" s="229">
        <v>1020</v>
      </c>
      <c r="C38" s="232" t="e">
        <f aca="true" t="shared" si="0" ref="C38:J38">C36-C37</f>
        <v>#N/A</v>
      </c>
      <c r="D38" s="232" t="e">
        <f t="shared" si="0"/>
        <v>#N/A</v>
      </c>
      <c r="E38" s="232">
        <f t="shared" si="0"/>
        <v>-80159.7</v>
      </c>
      <c r="F38" s="232">
        <f t="shared" si="0"/>
        <v>-82569.7</v>
      </c>
      <c r="G38" s="232">
        <f t="shared" si="0"/>
        <v>-22749.1</v>
      </c>
      <c r="H38" s="232">
        <f t="shared" si="0"/>
        <v>-21061.100000000002</v>
      </c>
      <c r="I38" s="232">
        <f t="shared" si="0"/>
        <v>-19245</v>
      </c>
      <c r="J38" s="232">
        <f t="shared" si="0"/>
        <v>-19514.5</v>
      </c>
    </row>
    <row r="39" spans="1:10" ht="18.75">
      <c r="A39" s="228" t="s">
        <v>238</v>
      </c>
      <c r="B39" s="229">
        <v>1030</v>
      </c>
      <c r="C39" s="230" t="e">
        <f>NA()</f>
        <v>#N/A</v>
      </c>
      <c r="D39" s="230">
        <v>3114.2</v>
      </c>
      <c r="E39" s="230">
        <v>3140.9</v>
      </c>
      <c r="F39" s="230">
        <f>G39+H39+I39+J39</f>
        <v>3094.2</v>
      </c>
      <c r="G39" s="230">
        <v>769.6</v>
      </c>
      <c r="H39" s="230">
        <v>736</v>
      </c>
      <c r="I39" s="230">
        <v>793.1</v>
      </c>
      <c r="J39" s="230">
        <v>795.5</v>
      </c>
    </row>
    <row r="40" spans="1:10" ht="18.75">
      <c r="A40" s="228" t="s">
        <v>56</v>
      </c>
      <c r="B40" s="229">
        <v>1060</v>
      </c>
      <c r="C40" s="230">
        <v>0</v>
      </c>
      <c r="D40" s="230">
        <v>0</v>
      </c>
      <c r="E40" s="230">
        <v>0</v>
      </c>
      <c r="F40" s="230">
        <v>0</v>
      </c>
      <c r="G40" s="230">
        <v>0</v>
      </c>
      <c r="H40" s="230">
        <v>0</v>
      </c>
      <c r="I40" s="230">
        <v>0</v>
      </c>
      <c r="J40" s="230">
        <v>0</v>
      </c>
    </row>
    <row r="41" spans="1:10" ht="18.75">
      <c r="A41" s="228" t="s">
        <v>239</v>
      </c>
      <c r="B41" s="229">
        <v>1070</v>
      </c>
      <c r="C41" s="230" t="e">
        <f>NA()</f>
        <v>#N/A</v>
      </c>
      <c r="D41" s="230">
        <v>81713.3</v>
      </c>
      <c r="E41" s="230">
        <v>75468.5</v>
      </c>
      <c r="F41" s="230">
        <f>G41+H41+I41+J41</f>
        <v>84463.90000000001</v>
      </c>
      <c r="G41" s="230">
        <v>23206.7</v>
      </c>
      <c r="H41" s="230">
        <v>21707.4</v>
      </c>
      <c r="I41" s="230">
        <v>19728.1</v>
      </c>
      <c r="J41" s="230">
        <v>19821.7</v>
      </c>
    </row>
    <row r="42" spans="1:10" ht="18.75">
      <c r="A42" s="228" t="s">
        <v>89</v>
      </c>
      <c r="B42" s="229">
        <v>1080</v>
      </c>
      <c r="C42" s="230" t="e">
        <f>NA()</f>
        <v>#N/A</v>
      </c>
      <c r="D42" s="230">
        <v>700</v>
      </c>
      <c r="E42" s="230">
        <v>1381.2</v>
      </c>
      <c r="F42" s="230">
        <f>G42+H42+I42+J42</f>
        <v>800</v>
      </c>
      <c r="G42" s="230">
        <v>188</v>
      </c>
      <c r="H42" s="230">
        <v>410.3</v>
      </c>
      <c r="I42" s="230">
        <v>190</v>
      </c>
      <c r="J42" s="230">
        <v>11.7</v>
      </c>
    </row>
    <row r="43" spans="1:10" ht="18.75">
      <c r="A43" s="233" t="s">
        <v>62</v>
      </c>
      <c r="B43" s="229">
        <v>1100</v>
      </c>
      <c r="C43" s="232" t="e">
        <f aca="true" t="shared" si="1" ref="C43:J43">C36+C41-C37-C39-C42</f>
        <v>#N/A</v>
      </c>
      <c r="D43" s="232" t="e">
        <f t="shared" si="1"/>
        <v>#N/A</v>
      </c>
      <c r="E43" s="232">
        <f t="shared" si="1"/>
        <v>-9213.299999999997</v>
      </c>
      <c r="F43" s="232">
        <f t="shared" si="1"/>
        <v>-1999.9999999999882</v>
      </c>
      <c r="G43" s="232">
        <f t="shared" si="1"/>
        <v>-499.99999999999784</v>
      </c>
      <c r="H43" s="232">
        <f t="shared" si="1"/>
        <v>-500.00000000000074</v>
      </c>
      <c r="I43" s="232">
        <f t="shared" si="1"/>
        <v>-500.0000000000015</v>
      </c>
      <c r="J43" s="232">
        <f t="shared" si="1"/>
        <v>-499.99999999999926</v>
      </c>
    </row>
    <row r="44" spans="1:10" ht="18.75">
      <c r="A44" s="234" t="s">
        <v>240</v>
      </c>
      <c r="B44" s="229">
        <v>1110</v>
      </c>
      <c r="C44" s="230">
        <v>0</v>
      </c>
      <c r="D44" s="230">
        <v>0</v>
      </c>
      <c r="E44" s="230">
        <v>0</v>
      </c>
      <c r="F44" s="230">
        <v>0</v>
      </c>
      <c r="G44" s="230">
        <v>0</v>
      </c>
      <c r="H44" s="230">
        <v>0</v>
      </c>
      <c r="I44" s="230">
        <v>0</v>
      </c>
      <c r="J44" s="230">
        <v>0</v>
      </c>
    </row>
    <row r="45" spans="1:10" ht="18.75">
      <c r="A45" s="234" t="s">
        <v>66</v>
      </c>
      <c r="B45" s="229">
        <v>1120</v>
      </c>
      <c r="C45" s="230">
        <v>0</v>
      </c>
      <c r="D45" s="230">
        <v>0</v>
      </c>
      <c r="E45" s="230">
        <v>0</v>
      </c>
      <c r="F45" s="230">
        <v>0</v>
      </c>
      <c r="G45" s="230">
        <v>0</v>
      </c>
      <c r="H45" s="230">
        <v>0</v>
      </c>
      <c r="I45" s="230">
        <v>0</v>
      </c>
      <c r="J45" s="230">
        <v>0</v>
      </c>
    </row>
    <row r="46" spans="1:10" ht="18.75">
      <c r="A46" s="234" t="s">
        <v>67</v>
      </c>
      <c r="B46" s="229">
        <v>1130</v>
      </c>
      <c r="C46" s="230">
        <v>0</v>
      </c>
      <c r="D46" s="230">
        <v>0</v>
      </c>
      <c r="E46" s="230">
        <v>0</v>
      </c>
      <c r="F46" s="230">
        <v>0</v>
      </c>
      <c r="G46" s="230">
        <v>0</v>
      </c>
      <c r="H46" s="230">
        <v>0</v>
      </c>
      <c r="I46" s="230">
        <v>0</v>
      </c>
      <c r="J46" s="230">
        <v>0</v>
      </c>
    </row>
    <row r="47" spans="1:10" ht="18.75">
      <c r="A47" s="234" t="s">
        <v>68</v>
      </c>
      <c r="B47" s="229">
        <v>1140</v>
      </c>
      <c r="C47" s="230" t="e">
        <f>NA()</f>
        <v>#N/A</v>
      </c>
      <c r="D47" s="230" t="e">
        <f>NA()</f>
        <v>#N/A</v>
      </c>
      <c r="E47" s="230">
        <v>0</v>
      </c>
      <c r="F47" s="230">
        <f>G47+H47+I47+J47</f>
        <v>0</v>
      </c>
      <c r="G47" s="230">
        <v>0</v>
      </c>
      <c r="H47" s="230">
        <v>0</v>
      </c>
      <c r="I47" s="230">
        <v>0</v>
      </c>
      <c r="J47" s="230">
        <v>0</v>
      </c>
    </row>
    <row r="48" spans="1:10" ht="18.75">
      <c r="A48" s="234" t="s">
        <v>241</v>
      </c>
      <c r="B48" s="229">
        <v>1150</v>
      </c>
      <c r="C48" s="230" t="e">
        <f>NA()</f>
        <v>#N/A</v>
      </c>
      <c r="D48" s="230" t="e">
        <f>NA()</f>
        <v>#N/A</v>
      </c>
      <c r="E48" s="230">
        <v>1000</v>
      </c>
      <c r="F48" s="230">
        <f>G48+H48+I48+J48</f>
        <v>2000</v>
      </c>
      <c r="G48" s="230">
        <v>500</v>
      </c>
      <c r="H48" s="230">
        <v>500</v>
      </c>
      <c r="I48" s="230">
        <v>500</v>
      </c>
      <c r="J48" s="230">
        <v>500</v>
      </c>
    </row>
    <row r="49" spans="1:10" ht="18.75">
      <c r="A49" s="228" t="s">
        <v>242</v>
      </c>
      <c r="B49" s="229">
        <v>1160</v>
      </c>
      <c r="C49" s="230">
        <v>0</v>
      </c>
      <c r="D49" s="230">
        <v>0</v>
      </c>
      <c r="E49" s="230">
        <v>0</v>
      </c>
      <c r="F49" s="230">
        <v>0</v>
      </c>
      <c r="G49" s="230">
        <v>0</v>
      </c>
      <c r="H49" s="230">
        <v>0</v>
      </c>
      <c r="I49" s="230">
        <v>0</v>
      </c>
      <c r="J49" s="230">
        <v>0</v>
      </c>
    </row>
    <row r="50" spans="1:10" ht="18.75">
      <c r="A50" s="235" t="s">
        <v>71</v>
      </c>
      <c r="B50" s="229">
        <v>1170</v>
      </c>
      <c r="C50" s="232" t="e">
        <f aca="true" t="shared" si="2" ref="C50:J50">C43-C47+C48</f>
        <v>#N/A</v>
      </c>
      <c r="D50" s="232" t="e">
        <f t="shared" si="2"/>
        <v>#N/A</v>
      </c>
      <c r="E50" s="232">
        <f t="shared" si="2"/>
        <v>-8213.299999999997</v>
      </c>
      <c r="F50" s="232">
        <f t="shared" si="2"/>
        <v>1.1823431123048067E-11</v>
      </c>
      <c r="G50" s="232">
        <f t="shared" si="2"/>
        <v>2.1600499167107046E-12</v>
      </c>
      <c r="H50" s="232">
        <f t="shared" si="2"/>
        <v>-7.389644451905042E-13</v>
      </c>
      <c r="I50" s="232">
        <f t="shared" si="2"/>
        <v>-1.4779288903810084E-12</v>
      </c>
      <c r="J50" s="232">
        <f t="shared" si="2"/>
        <v>7.389644451905042E-13</v>
      </c>
    </row>
    <row r="51" spans="1:10" ht="18.75">
      <c r="A51" s="234" t="s">
        <v>72</v>
      </c>
      <c r="B51" s="236">
        <v>1180</v>
      </c>
      <c r="C51" s="230" t="e">
        <f>NA()</f>
        <v>#N/A</v>
      </c>
      <c r="D51" s="230" t="e">
        <f>NA()</f>
        <v>#N/A</v>
      </c>
      <c r="E51" s="230">
        <v>0</v>
      </c>
      <c r="F51" s="230">
        <f>G51+H51+I51+J51</f>
        <v>0</v>
      </c>
      <c r="G51" s="230">
        <v>0</v>
      </c>
      <c r="H51" s="230">
        <v>0</v>
      </c>
      <c r="I51" s="230">
        <v>0</v>
      </c>
      <c r="J51" s="230">
        <v>0</v>
      </c>
    </row>
    <row r="52" spans="1:10" ht="18.75">
      <c r="A52" s="234" t="s">
        <v>243</v>
      </c>
      <c r="B52" s="236">
        <v>1181</v>
      </c>
      <c r="C52" s="230">
        <v>0</v>
      </c>
      <c r="D52" s="230">
        <v>0</v>
      </c>
      <c r="E52" s="230">
        <v>0</v>
      </c>
      <c r="F52" s="230">
        <v>0</v>
      </c>
      <c r="G52" s="230">
        <v>0</v>
      </c>
      <c r="H52" s="230">
        <v>0</v>
      </c>
      <c r="I52" s="230">
        <v>0</v>
      </c>
      <c r="J52" s="230">
        <v>0</v>
      </c>
    </row>
    <row r="53" spans="1:10" ht="18.75">
      <c r="A53" s="234" t="s">
        <v>74</v>
      </c>
      <c r="B53" s="229">
        <v>1190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230">
        <v>0</v>
      </c>
      <c r="I53" s="230">
        <v>0</v>
      </c>
      <c r="J53" s="230">
        <v>0</v>
      </c>
    </row>
    <row r="54" spans="1:10" ht="18.75">
      <c r="A54" s="234" t="s">
        <v>75</v>
      </c>
      <c r="B54" s="229">
        <v>1191</v>
      </c>
      <c r="C54" s="230">
        <v>0</v>
      </c>
      <c r="D54" s="230">
        <v>0</v>
      </c>
      <c r="E54" s="230">
        <v>0</v>
      </c>
      <c r="F54" s="230">
        <v>0</v>
      </c>
      <c r="G54" s="230">
        <v>0</v>
      </c>
      <c r="H54" s="230">
        <v>0</v>
      </c>
      <c r="I54" s="230">
        <v>0</v>
      </c>
      <c r="J54" s="230">
        <v>0</v>
      </c>
    </row>
    <row r="55" spans="1:10" ht="18.75">
      <c r="A55" s="233" t="s">
        <v>76</v>
      </c>
      <c r="B55" s="229">
        <v>1200</v>
      </c>
      <c r="C55" s="232" t="e">
        <f>NA()</f>
        <v>#N/A</v>
      </c>
      <c r="D55" s="232" t="e">
        <f>NA()</f>
        <v>#N/A</v>
      </c>
      <c r="E55" s="232">
        <v>-8213.3</v>
      </c>
      <c r="F55" s="232">
        <f>F36+F41+F48-F37-F39-F42</f>
        <v>1.1823431123048067E-11</v>
      </c>
      <c r="G55" s="232">
        <f>G36+G41+G48-G37-G39-G42</f>
        <v>2.1600499167107046E-12</v>
      </c>
      <c r="H55" s="232">
        <f>H36+H41+H48-H37-H39-H42</f>
        <v>-7.389644451905042E-13</v>
      </c>
      <c r="I55" s="232">
        <f>I36+I41+I48-I37-I39-I42</f>
        <v>-1.4779288903810084E-12</v>
      </c>
      <c r="J55" s="232">
        <f>J36+J41+J48-J37-J39-J42</f>
        <v>7.283063041541027E-13</v>
      </c>
    </row>
    <row r="56" spans="1:10" ht="18.75">
      <c r="A56" s="234" t="s">
        <v>77</v>
      </c>
      <c r="B56" s="229">
        <v>1201</v>
      </c>
      <c r="C56" s="230">
        <v>0</v>
      </c>
      <c r="D56" s="230">
        <v>0</v>
      </c>
      <c r="E56" s="230">
        <v>0</v>
      </c>
      <c r="F56" s="230">
        <v>0</v>
      </c>
      <c r="G56" s="230">
        <v>0</v>
      </c>
      <c r="H56" s="230">
        <v>0</v>
      </c>
      <c r="I56" s="230">
        <v>0</v>
      </c>
      <c r="J56" s="230">
        <v>0</v>
      </c>
    </row>
    <row r="57" spans="1:10" ht="18.75">
      <c r="A57" s="234" t="s">
        <v>78</v>
      </c>
      <c r="B57" s="229">
        <v>1202</v>
      </c>
      <c r="C57" s="230" t="e">
        <f>NA()</f>
        <v>#N/A</v>
      </c>
      <c r="D57" s="230" t="e">
        <f>NA()</f>
        <v>#N/A</v>
      </c>
      <c r="E57" s="232">
        <v>-8213.3</v>
      </c>
      <c r="F57" s="230">
        <f>G57+H57+I57+J57</f>
        <v>0</v>
      </c>
      <c r="G57" s="230">
        <v>0</v>
      </c>
      <c r="H57" s="230">
        <v>0</v>
      </c>
      <c r="I57" s="230">
        <v>0</v>
      </c>
      <c r="J57" s="230">
        <v>0</v>
      </c>
    </row>
    <row r="58" spans="1:10" ht="18.75" customHeight="1">
      <c r="A58" s="379" t="s">
        <v>91</v>
      </c>
      <c r="B58" s="379"/>
      <c r="C58" s="379"/>
      <c r="D58" s="379"/>
      <c r="E58" s="379"/>
      <c r="F58" s="379"/>
      <c r="G58" s="379"/>
      <c r="H58" s="379"/>
      <c r="I58" s="379"/>
      <c r="J58" s="379"/>
    </row>
    <row r="59" spans="1:10" ht="37.5">
      <c r="A59" s="237" t="s">
        <v>244</v>
      </c>
      <c r="B59" s="238">
        <v>2110</v>
      </c>
      <c r="C59" s="232">
        <v>20579.9</v>
      </c>
      <c r="D59" s="232">
        <v>16384.8</v>
      </c>
      <c r="E59" s="232">
        <v>16684.8</v>
      </c>
      <c r="F59" s="232">
        <v>16906.1</v>
      </c>
      <c r="G59" s="230">
        <v>4063.4</v>
      </c>
      <c r="H59" s="230">
        <v>4112.1</v>
      </c>
      <c r="I59" s="230">
        <v>4366</v>
      </c>
      <c r="J59" s="230">
        <v>4364.6</v>
      </c>
    </row>
    <row r="60" spans="1:10" ht="18.75" customHeight="1">
      <c r="A60" s="380" t="s">
        <v>245</v>
      </c>
      <c r="B60" s="380"/>
      <c r="C60" s="380"/>
      <c r="D60" s="380"/>
      <c r="E60" s="380"/>
      <c r="F60" s="380"/>
      <c r="G60" s="380"/>
      <c r="H60" s="380"/>
      <c r="I60" s="380"/>
      <c r="J60" s="380"/>
    </row>
    <row r="61" spans="1:10" ht="19.5">
      <c r="A61" s="239">
        <v>1</v>
      </c>
      <c r="B61" s="240">
        <v>2</v>
      </c>
      <c r="C61" s="241">
        <v>3</v>
      </c>
      <c r="D61" s="241">
        <v>4</v>
      </c>
      <c r="E61" s="241">
        <v>5</v>
      </c>
      <c r="F61" s="241">
        <v>6</v>
      </c>
      <c r="G61" s="241">
        <v>7</v>
      </c>
      <c r="H61" s="241">
        <v>8</v>
      </c>
      <c r="I61" s="241">
        <v>9</v>
      </c>
      <c r="J61" s="241">
        <v>10</v>
      </c>
    </row>
    <row r="62" spans="1:10" ht="37.5">
      <c r="A62" s="237" t="s">
        <v>246</v>
      </c>
      <c r="B62" s="238">
        <v>2120</v>
      </c>
      <c r="C62" s="232">
        <f aca="true" t="shared" si="3" ref="C62:J62">C63+C64+C65+C66+C67+C68+C69</f>
        <v>7038.4</v>
      </c>
      <c r="D62" s="232">
        <f t="shared" si="3"/>
        <v>8495.1</v>
      </c>
      <c r="E62" s="232">
        <f t="shared" si="3"/>
        <v>8586.6</v>
      </c>
      <c r="F62" s="232">
        <f t="shared" si="3"/>
        <v>8481.9</v>
      </c>
      <c r="G62" s="232">
        <f t="shared" si="3"/>
        <v>2248.5</v>
      </c>
      <c r="H62" s="232">
        <f t="shared" si="3"/>
        <v>2090.6000000000004</v>
      </c>
      <c r="I62" s="232">
        <f t="shared" si="3"/>
        <v>2084.2000000000003</v>
      </c>
      <c r="J62" s="232">
        <f t="shared" si="3"/>
        <v>2058.6</v>
      </c>
    </row>
    <row r="63" spans="1:10" ht="18.75">
      <c r="A63" s="242" t="s">
        <v>247</v>
      </c>
      <c r="B63" s="238">
        <v>2121</v>
      </c>
      <c r="C63" s="230">
        <v>6624.3</v>
      </c>
      <c r="D63" s="230">
        <v>8479.6</v>
      </c>
      <c r="E63" s="230">
        <v>8571.1</v>
      </c>
      <c r="F63" s="230">
        <v>8466.4</v>
      </c>
      <c r="G63" s="230">
        <v>2244.7</v>
      </c>
      <c r="H63" s="230">
        <v>2086.8</v>
      </c>
      <c r="I63" s="230">
        <v>2080.4</v>
      </c>
      <c r="J63" s="230">
        <v>2054.5</v>
      </c>
    </row>
    <row r="64" spans="1:10" ht="18.75">
      <c r="A64" s="242" t="s">
        <v>248</v>
      </c>
      <c r="B64" s="238">
        <v>2122</v>
      </c>
      <c r="C64" s="230">
        <v>15.5</v>
      </c>
      <c r="D64" s="230">
        <v>15.5</v>
      </c>
      <c r="E64" s="230">
        <v>15.5</v>
      </c>
      <c r="F64" s="230">
        <v>15.5</v>
      </c>
      <c r="G64" s="230">
        <v>3.8</v>
      </c>
      <c r="H64" s="230">
        <v>3.8</v>
      </c>
      <c r="I64" s="230">
        <v>3.8</v>
      </c>
      <c r="J64" s="230">
        <v>4.1</v>
      </c>
    </row>
    <row r="65" spans="1:10" ht="37.5">
      <c r="A65" s="243" t="s">
        <v>249</v>
      </c>
      <c r="B65" s="244">
        <v>2123</v>
      </c>
      <c r="C65" s="230">
        <v>392.2</v>
      </c>
      <c r="D65" s="230">
        <v>0</v>
      </c>
      <c r="E65" s="230">
        <v>0</v>
      </c>
      <c r="F65" s="230">
        <v>0</v>
      </c>
      <c r="G65" s="230">
        <v>0</v>
      </c>
      <c r="H65" s="230">
        <v>0</v>
      </c>
      <c r="I65" s="230">
        <v>0</v>
      </c>
      <c r="J65" s="230">
        <v>0</v>
      </c>
    </row>
    <row r="66" spans="1:10" ht="37.5">
      <c r="A66" s="243" t="s">
        <v>250</v>
      </c>
      <c r="B66" s="245">
        <v>2124</v>
      </c>
      <c r="C66" s="230">
        <v>6.4</v>
      </c>
      <c r="D66" s="230">
        <v>0</v>
      </c>
      <c r="E66" s="230">
        <v>0</v>
      </c>
      <c r="F66" s="230">
        <v>0</v>
      </c>
      <c r="G66" s="230">
        <v>0</v>
      </c>
      <c r="H66" s="230">
        <v>0</v>
      </c>
      <c r="I66" s="230">
        <v>0</v>
      </c>
      <c r="J66" s="230">
        <v>0</v>
      </c>
    </row>
    <row r="67" spans="1:10" ht="37.5">
      <c r="A67" s="243" t="s">
        <v>251</v>
      </c>
      <c r="B67" s="245">
        <v>2125</v>
      </c>
      <c r="C67" s="230">
        <v>0</v>
      </c>
      <c r="D67" s="230">
        <v>0</v>
      </c>
      <c r="E67" s="230">
        <v>0</v>
      </c>
      <c r="F67" s="230">
        <v>0</v>
      </c>
      <c r="G67" s="230">
        <v>0</v>
      </c>
      <c r="H67" s="230">
        <v>0</v>
      </c>
      <c r="I67" s="230">
        <v>0</v>
      </c>
      <c r="J67" s="230">
        <v>0</v>
      </c>
    </row>
    <row r="68" spans="1:10" ht="18.75">
      <c r="A68" s="246" t="s">
        <v>252</v>
      </c>
      <c r="B68" s="244">
        <v>2126</v>
      </c>
      <c r="C68" s="230">
        <v>0</v>
      </c>
      <c r="D68" s="230">
        <v>0</v>
      </c>
      <c r="E68" s="230">
        <v>0</v>
      </c>
      <c r="F68" s="230">
        <v>0</v>
      </c>
      <c r="G68" s="230">
        <v>0</v>
      </c>
      <c r="H68" s="230">
        <v>0</v>
      </c>
      <c r="I68" s="230">
        <v>0</v>
      </c>
      <c r="J68" s="230">
        <v>0</v>
      </c>
    </row>
    <row r="69" spans="1:10" ht="18.75">
      <c r="A69" s="246" t="s">
        <v>253</v>
      </c>
      <c r="B69" s="244">
        <v>2127</v>
      </c>
      <c r="C69" s="230">
        <v>0</v>
      </c>
      <c r="D69" s="230">
        <v>0</v>
      </c>
      <c r="E69" s="230">
        <v>0</v>
      </c>
      <c r="F69" s="230">
        <v>0</v>
      </c>
      <c r="G69" s="230">
        <v>0</v>
      </c>
      <c r="H69" s="230">
        <v>0</v>
      </c>
      <c r="I69" s="230">
        <v>0</v>
      </c>
      <c r="J69" s="230">
        <v>0</v>
      </c>
    </row>
    <row r="70" spans="1:10" ht="37.5">
      <c r="A70" s="247" t="s">
        <v>115</v>
      </c>
      <c r="B70" s="244">
        <v>2130</v>
      </c>
      <c r="C70" s="248">
        <v>20579.9</v>
      </c>
      <c r="D70" s="232">
        <v>14864.1</v>
      </c>
      <c r="E70" s="232">
        <v>15000</v>
      </c>
      <c r="F70" s="232">
        <v>16906.1</v>
      </c>
      <c r="G70" s="230">
        <v>4063.4</v>
      </c>
      <c r="H70" s="230">
        <v>4112.1</v>
      </c>
      <c r="I70" s="230">
        <v>4366</v>
      </c>
      <c r="J70" s="230">
        <v>4364.6</v>
      </c>
    </row>
    <row r="71" spans="1:10" ht="37.5">
      <c r="A71" s="249" t="s">
        <v>117</v>
      </c>
      <c r="B71" s="236">
        <v>2131</v>
      </c>
      <c r="C71" s="250">
        <v>15879.9</v>
      </c>
      <c r="D71" s="250">
        <v>10364.1</v>
      </c>
      <c r="E71" s="250">
        <v>10475.8</v>
      </c>
      <c r="F71" s="250">
        <f>G71+H71+I71+J71</f>
        <v>10347.8</v>
      </c>
      <c r="G71" s="250">
        <v>2743.5</v>
      </c>
      <c r="H71" s="250">
        <v>2550.6</v>
      </c>
      <c r="I71" s="250">
        <v>2542.7</v>
      </c>
      <c r="J71" s="250">
        <v>2511</v>
      </c>
    </row>
    <row r="72" spans="1:10" ht="18.75">
      <c r="A72" s="237" t="s">
        <v>254</v>
      </c>
      <c r="B72" s="236">
        <v>2200</v>
      </c>
      <c r="C72" s="248">
        <f aca="true" t="shared" si="4" ref="C72:J72">C59+C62</f>
        <v>27618.300000000003</v>
      </c>
      <c r="D72" s="248">
        <f t="shared" si="4"/>
        <v>24879.9</v>
      </c>
      <c r="E72" s="248">
        <f t="shared" si="4"/>
        <v>25271.4</v>
      </c>
      <c r="F72" s="248">
        <f t="shared" si="4"/>
        <v>25388</v>
      </c>
      <c r="G72" s="248">
        <f t="shared" si="4"/>
        <v>6311.9</v>
      </c>
      <c r="H72" s="248">
        <f t="shared" si="4"/>
        <v>6202.700000000001</v>
      </c>
      <c r="I72" s="248">
        <f t="shared" si="4"/>
        <v>6450.200000000001</v>
      </c>
      <c r="J72" s="248">
        <f t="shared" si="4"/>
        <v>6423.200000000001</v>
      </c>
    </row>
    <row r="73" spans="1:10" ht="18.75" customHeight="1">
      <c r="A73" s="379" t="s">
        <v>255</v>
      </c>
      <c r="B73" s="379"/>
      <c r="C73" s="379"/>
      <c r="D73" s="379"/>
      <c r="E73" s="379"/>
      <c r="F73" s="379"/>
      <c r="G73" s="379"/>
      <c r="H73" s="379"/>
      <c r="I73" s="379"/>
      <c r="J73" s="379"/>
    </row>
    <row r="74" spans="1:10" ht="18.75">
      <c r="A74" s="251" t="s">
        <v>256</v>
      </c>
      <c r="B74" s="229">
        <v>3405</v>
      </c>
      <c r="C74" s="232">
        <v>16.5</v>
      </c>
      <c r="D74" s="232">
        <v>0</v>
      </c>
      <c r="E74" s="232">
        <v>0</v>
      </c>
      <c r="F74" s="252">
        <v>132.5</v>
      </c>
      <c r="G74" s="253">
        <v>0</v>
      </c>
      <c r="H74" s="253">
        <v>0</v>
      </c>
      <c r="I74" s="253">
        <v>0</v>
      </c>
      <c r="J74" s="253">
        <v>0</v>
      </c>
    </row>
    <row r="75" spans="1:10" ht="18.75">
      <c r="A75" s="254" t="s">
        <v>126</v>
      </c>
      <c r="B75" s="229">
        <v>3415</v>
      </c>
      <c r="C75" s="232">
        <v>142.4</v>
      </c>
      <c r="D75" s="232">
        <v>0</v>
      </c>
      <c r="E75" s="232">
        <v>0</v>
      </c>
      <c r="F75" s="252">
        <v>140</v>
      </c>
      <c r="G75" s="253">
        <v>0</v>
      </c>
      <c r="H75" s="253">
        <v>0</v>
      </c>
      <c r="I75" s="253">
        <v>0</v>
      </c>
      <c r="J75" s="253">
        <v>0</v>
      </c>
    </row>
    <row r="76" spans="1:10" ht="18.75" customHeight="1">
      <c r="A76" s="381" t="s">
        <v>257</v>
      </c>
      <c r="B76" s="381"/>
      <c r="C76" s="381"/>
      <c r="D76" s="381"/>
      <c r="E76" s="381"/>
      <c r="F76" s="381"/>
      <c r="G76" s="381"/>
      <c r="H76" s="381"/>
      <c r="I76" s="381"/>
      <c r="J76" s="381"/>
    </row>
    <row r="77" spans="1:10" ht="18.75">
      <c r="A77" s="249" t="s">
        <v>258</v>
      </c>
      <c r="B77" s="229">
        <v>4000</v>
      </c>
      <c r="C77" s="230">
        <v>9420.5</v>
      </c>
      <c r="D77" s="230">
        <v>82902.7</v>
      </c>
      <c r="E77" s="230">
        <v>82902.7</v>
      </c>
      <c r="F77" s="250">
        <f>G77+H77+I77+J77</f>
        <v>9560</v>
      </c>
      <c r="G77" s="230">
        <v>4360</v>
      </c>
      <c r="H77" s="230">
        <v>4100</v>
      </c>
      <c r="I77" s="230">
        <v>750</v>
      </c>
      <c r="J77" s="230">
        <v>350</v>
      </c>
    </row>
    <row r="78" spans="1:10" ht="20.25" customHeight="1">
      <c r="A78" s="382" t="s">
        <v>161</v>
      </c>
      <c r="B78" s="382"/>
      <c r="C78" s="382"/>
      <c r="D78" s="382"/>
      <c r="E78" s="382"/>
      <c r="F78" s="382"/>
      <c r="G78" s="382"/>
      <c r="H78" s="382"/>
      <c r="I78" s="382"/>
      <c r="J78" s="382"/>
    </row>
    <row r="79" spans="1:10" ht="18.75">
      <c r="A79" s="255" t="s">
        <v>162</v>
      </c>
      <c r="B79" s="256">
        <v>5040</v>
      </c>
      <c r="C79" s="257">
        <v>0</v>
      </c>
      <c r="D79" s="257">
        <v>0</v>
      </c>
      <c r="E79" s="257">
        <v>0</v>
      </c>
      <c r="F79" s="257">
        <v>0</v>
      </c>
      <c r="G79" s="257">
        <v>0</v>
      </c>
      <c r="H79" s="257">
        <v>0</v>
      </c>
      <c r="I79" s="257">
        <v>0</v>
      </c>
      <c r="J79" s="257">
        <v>0</v>
      </c>
    </row>
    <row r="80" spans="1:10" ht="18.75">
      <c r="A80" s="255" t="s">
        <v>168</v>
      </c>
      <c r="B80" s="256">
        <v>6000</v>
      </c>
      <c r="C80" s="230">
        <v>43903.4</v>
      </c>
      <c r="D80" s="230">
        <v>43979.8</v>
      </c>
      <c r="E80" s="230">
        <v>43979.8</v>
      </c>
      <c r="F80" s="253">
        <v>53000</v>
      </c>
      <c r="G80" s="253">
        <v>0</v>
      </c>
      <c r="H80" s="253">
        <v>0</v>
      </c>
      <c r="I80" s="253">
        <v>0</v>
      </c>
      <c r="J80" s="253">
        <v>0</v>
      </c>
    </row>
    <row r="81" spans="1:10" ht="18.75">
      <c r="A81" s="255" t="s">
        <v>259</v>
      </c>
      <c r="B81" s="256">
        <v>6001</v>
      </c>
      <c r="C81" s="230">
        <v>35282.7</v>
      </c>
      <c r="D81" s="230">
        <v>39851.2</v>
      </c>
      <c r="E81" s="230">
        <v>39851.2</v>
      </c>
      <c r="F81" s="253">
        <v>42000</v>
      </c>
      <c r="G81" s="253">
        <v>0</v>
      </c>
      <c r="H81" s="253">
        <v>0</v>
      </c>
      <c r="I81" s="253">
        <v>0</v>
      </c>
      <c r="J81" s="253">
        <v>0</v>
      </c>
    </row>
    <row r="82" spans="1:10" ht="18.75">
      <c r="A82" s="255" t="s">
        <v>171</v>
      </c>
      <c r="B82" s="256">
        <v>6002</v>
      </c>
      <c r="C82" s="230">
        <v>92845.4</v>
      </c>
      <c r="D82" s="230">
        <v>101194.9</v>
      </c>
      <c r="E82" s="230">
        <v>101194.9</v>
      </c>
      <c r="F82" s="253">
        <v>105000</v>
      </c>
      <c r="G82" s="253">
        <v>0</v>
      </c>
      <c r="H82" s="253">
        <v>0</v>
      </c>
      <c r="I82" s="253">
        <v>0</v>
      </c>
      <c r="J82" s="253">
        <v>0</v>
      </c>
    </row>
    <row r="83" spans="1:10" ht="18.75">
      <c r="A83" s="255" t="s">
        <v>172</v>
      </c>
      <c r="B83" s="256">
        <v>6003</v>
      </c>
      <c r="C83" s="230">
        <v>57562.7</v>
      </c>
      <c r="D83" s="230">
        <v>61343.7</v>
      </c>
      <c r="E83" s="230">
        <v>61343.7</v>
      </c>
      <c r="F83" s="253">
        <v>64000</v>
      </c>
      <c r="G83" s="253">
        <v>0</v>
      </c>
      <c r="H83" s="253">
        <v>0</v>
      </c>
      <c r="I83" s="253">
        <v>0</v>
      </c>
      <c r="J83" s="253">
        <v>0</v>
      </c>
    </row>
    <row r="84" spans="1:10" ht="18.75">
      <c r="A84" s="249" t="s">
        <v>173</v>
      </c>
      <c r="B84" s="229">
        <v>6010</v>
      </c>
      <c r="C84" s="230">
        <v>4994.9</v>
      </c>
      <c r="D84" s="230">
        <v>18847.4</v>
      </c>
      <c r="E84" s="230">
        <v>18847.4</v>
      </c>
      <c r="F84" s="253">
        <v>16000</v>
      </c>
      <c r="G84" s="253">
        <v>0</v>
      </c>
      <c r="H84" s="253">
        <v>0</v>
      </c>
      <c r="I84" s="253">
        <v>0</v>
      </c>
      <c r="J84" s="253">
        <v>0</v>
      </c>
    </row>
    <row r="85" spans="1:10" ht="18.75">
      <c r="A85" s="249" t="s">
        <v>260</v>
      </c>
      <c r="B85" s="229">
        <v>6011</v>
      </c>
      <c r="C85" s="230">
        <v>142.4</v>
      </c>
      <c r="D85" s="230">
        <v>49.2</v>
      </c>
      <c r="E85" s="230">
        <v>49.2</v>
      </c>
      <c r="F85" s="253">
        <v>460</v>
      </c>
      <c r="G85" s="253">
        <v>0</v>
      </c>
      <c r="H85" s="253">
        <v>0</v>
      </c>
      <c r="I85" s="253">
        <v>0</v>
      </c>
      <c r="J85" s="253">
        <v>0</v>
      </c>
    </row>
    <row r="86" spans="1:10" ht="18.75">
      <c r="A86" s="237" t="s">
        <v>175</v>
      </c>
      <c r="B86" s="229">
        <v>6020</v>
      </c>
      <c r="C86" s="230">
        <f>C80+C84</f>
        <v>48898.3</v>
      </c>
      <c r="D86" s="230">
        <f>D80+D84</f>
        <v>62827.200000000004</v>
      </c>
      <c r="E86" s="230"/>
      <c r="F86" s="253">
        <f>F80+F84</f>
        <v>69000</v>
      </c>
      <c r="G86" s="253">
        <v>0</v>
      </c>
      <c r="H86" s="253">
        <v>0</v>
      </c>
      <c r="I86" s="253">
        <v>0</v>
      </c>
      <c r="J86" s="253">
        <v>0</v>
      </c>
    </row>
    <row r="87" spans="1:10" ht="18.75">
      <c r="A87" s="249" t="s">
        <v>261</v>
      </c>
      <c r="B87" s="229">
        <v>6030</v>
      </c>
      <c r="C87" s="230">
        <v>1687.5</v>
      </c>
      <c r="D87" s="230">
        <v>1744.8</v>
      </c>
      <c r="E87" s="230">
        <v>1744.8</v>
      </c>
      <c r="F87" s="253">
        <v>1200</v>
      </c>
      <c r="G87" s="253">
        <v>0</v>
      </c>
      <c r="H87" s="253">
        <v>0</v>
      </c>
      <c r="I87" s="253">
        <v>0</v>
      </c>
      <c r="J87" s="253">
        <v>0</v>
      </c>
    </row>
    <row r="88" spans="1:10" ht="18.75">
      <c r="A88" s="249" t="s">
        <v>262</v>
      </c>
      <c r="B88" s="229">
        <v>6040</v>
      </c>
      <c r="C88" s="230">
        <v>11124.7</v>
      </c>
      <c r="D88" s="230">
        <v>29061</v>
      </c>
      <c r="E88" s="230">
        <v>29061</v>
      </c>
      <c r="F88" s="253">
        <v>30200</v>
      </c>
      <c r="G88" s="253">
        <v>0</v>
      </c>
      <c r="H88" s="253">
        <v>0</v>
      </c>
      <c r="I88" s="253">
        <v>0</v>
      </c>
      <c r="J88" s="253">
        <v>0</v>
      </c>
    </row>
    <row r="89" spans="1:10" ht="18.75">
      <c r="A89" s="237" t="s">
        <v>263</v>
      </c>
      <c r="B89" s="229">
        <v>6050</v>
      </c>
      <c r="C89" s="232">
        <f>C87+C88</f>
        <v>12812.2</v>
      </c>
      <c r="D89" s="232">
        <f>D87+D88</f>
        <v>30805.8</v>
      </c>
      <c r="E89" s="232">
        <f>E87+E88</f>
        <v>30805.8</v>
      </c>
      <c r="F89" s="252">
        <f>F87+F88</f>
        <v>31400</v>
      </c>
      <c r="G89" s="253">
        <v>0</v>
      </c>
      <c r="H89" s="253">
        <v>0</v>
      </c>
      <c r="I89" s="253">
        <v>0</v>
      </c>
      <c r="J89" s="253">
        <v>0</v>
      </c>
    </row>
    <row r="90" spans="1:10" ht="18.75">
      <c r="A90" s="249" t="s">
        <v>264</v>
      </c>
      <c r="B90" s="229">
        <v>6060</v>
      </c>
      <c r="C90" s="230">
        <v>0</v>
      </c>
      <c r="D90" s="230">
        <v>0</v>
      </c>
      <c r="E90" s="230">
        <v>0</v>
      </c>
      <c r="F90" s="258">
        <v>0</v>
      </c>
      <c r="G90" s="258">
        <v>0</v>
      </c>
      <c r="H90" s="258">
        <v>0</v>
      </c>
      <c r="I90" s="258">
        <v>0</v>
      </c>
      <c r="J90" s="258">
        <v>0</v>
      </c>
    </row>
    <row r="91" spans="1:10" ht="18.75">
      <c r="A91" s="249" t="s">
        <v>180</v>
      </c>
      <c r="B91" s="229">
        <v>6070</v>
      </c>
      <c r="C91" s="230">
        <v>0</v>
      </c>
      <c r="D91" s="230">
        <v>0</v>
      </c>
      <c r="E91" s="230">
        <v>0</v>
      </c>
      <c r="F91" s="258">
        <v>0</v>
      </c>
      <c r="G91" s="258">
        <v>0</v>
      </c>
      <c r="H91" s="258">
        <v>0</v>
      </c>
      <c r="I91" s="258">
        <v>0</v>
      </c>
      <c r="J91" s="258">
        <v>0</v>
      </c>
    </row>
    <row r="92" spans="1:10" ht="18.75">
      <c r="A92" s="237" t="s">
        <v>181</v>
      </c>
      <c r="B92" s="229">
        <v>6080</v>
      </c>
      <c r="C92" s="230">
        <v>36086.1</v>
      </c>
      <c r="D92" s="230">
        <v>32021.4</v>
      </c>
      <c r="E92" s="230">
        <v>32021.4</v>
      </c>
      <c r="F92" s="253">
        <v>37069.3</v>
      </c>
      <c r="G92" s="253">
        <v>0</v>
      </c>
      <c r="H92" s="253">
        <v>0</v>
      </c>
      <c r="I92" s="253">
        <v>0</v>
      </c>
      <c r="J92" s="253">
        <v>0</v>
      </c>
    </row>
    <row r="93" spans="1:10" ht="18.75" customHeight="1">
      <c r="A93" s="379" t="s">
        <v>182</v>
      </c>
      <c r="B93" s="379"/>
      <c r="C93" s="379"/>
      <c r="D93" s="379"/>
      <c r="E93" s="379"/>
      <c r="F93" s="379"/>
      <c r="G93" s="379"/>
      <c r="H93" s="379"/>
      <c r="I93" s="379"/>
      <c r="J93" s="379"/>
    </row>
    <row r="94" spans="1:10" ht="18.75">
      <c r="A94" s="251" t="s">
        <v>183</v>
      </c>
      <c r="B94" s="259" t="s">
        <v>184</v>
      </c>
      <c r="C94" s="230">
        <v>0</v>
      </c>
      <c r="D94" s="230">
        <v>0</v>
      </c>
      <c r="E94" s="230">
        <v>0</v>
      </c>
      <c r="F94" s="230">
        <v>0</v>
      </c>
      <c r="G94" s="230">
        <v>0</v>
      </c>
      <c r="H94" s="230">
        <v>0</v>
      </c>
      <c r="I94" s="230">
        <v>0</v>
      </c>
      <c r="J94" s="230">
        <v>0</v>
      </c>
    </row>
    <row r="95" spans="1:10" ht="18.75">
      <c r="A95" s="249" t="s">
        <v>185</v>
      </c>
      <c r="B95" s="260" t="s">
        <v>186</v>
      </c>
      <c r="C95" s="230">
        <v>0</v>
      </c>
      <c r="D95" s="230">
        <v>0</v>
      </c>
      <c r="E95" s="230">
        <v>0</v>
      </c>
      <c r="F95" s="230">
        <v>0</v>
      </c>
      <c r="G95" s="230">
        <v>0</v>
      </c>
      <c r="H95" s="230">
        <v>0</v>
      </c>
      <c r="I95" s="230">
        <v>0</v>
      </c>
      <c r="J95" s="230">
        <v>0</v>
      </c>
    </row>
    <row r="96" spans="1:10" ht="18.75">
      <c r="A96" s="249" t="s">
        <v>187</v>
      </c>
      <c r="B96" s="260" t="s">
        <v>188</v>
      </c>
      <c r="C96" s="230">
        <v>0</v>
      </c>
      <c r="D96" s="230">
        <v>0</v>
      </c>
      <c r="E96" s="230">
        <v>0</v>
      </c>
      <c r="F96" s="230">
        <v>0</v>
      </c>
      <c r="G96" s="230">
        <v>0</v>
      </c>
      <c r="H96" s="230">
        <v>0</v>
      </c>
      <c r="I96" s="230">
        <v>0</v>
      </c>
      <c r="J96" s="230">
        <v>0</v>
      </c>
    </row>
    <row r="97" spans="1:10" ht="18.75">
      <c r="A97" s="249" t="s">
        <v>189</v>
      </c>
      <c r="B97" s="260" t="s">
        <v>190</v>
      </c>
      <c r="C97" s="230">
        <v>0</v>
      </c>
      <c r="D97" s="230">
        <v>0</v>
      </c>
      <c r="E97" s="230">
        <v>0</v>
      </c>
      <c r="F97" s="230">
        <v>0</v>
      </c>
      <c r="G97" s="230">
        <v>0</v>
      </c>
      <c r="H97" s="230">
        <v>0</v>
      </c>
      <c r="I97" s="230">
        <v>0</v>
      </c>
      <c r="J97" s="230">
        <v>0</v>
      </c>
    </row>
    <row r="98" spans="1:10" ht="18.75">
      <c r="A98" s="237" t="s">
        <v>191</v>
      </c>
      <c r="B98" s="260" t="s">
        <v>192</v>
      </c>
      <c r="C98" s="230">
        <v>0</v>
      </c>
      <c r="D98" s="230">
        <v>0</v>
      </c>
      <c r="E98" s="230">
        <v>0</v>
      </c>
      <c r="F98" s="230">
        <v>0</v>
      </c>
      <c r="G98" s="230">
        <v>0</v>
      </c>
      <c r="H98" s="230">
        <v>0</v>
      </c>
      <c r="I98" s="230">
        <v>0</v>
      </c>
      <c r="J98" s="230">
        <v>0</v>
      </c>
    </row>
    <row r="99" spans="1:10" ht="18.75">
      <c r="A99" s="249" t="s">
        <v>185</v>
      </c>
      <c r="B99" s="260" t="s">
        <v>193</v>
      </c>
      <c r="C99" s="230">
        <v>0</v>
      </c>
      <c r="D99" s="230">
        <v>0</v>
      </c>
      <c r="E99" s="230">
        <v>0</v>
      </c>
      <c r="F99" s="230">
        <v>0</v>
      </c>
      <c r="G99" s="230">
        <v>0</v>
      </c>
      <c r="H99" s="230">
        <v>0</v>
      </c>
      <c r="I99" s="230">
        <v>0</v>
      </c>
      <c r="J99" s="230">
        <v>0</v>
      </c>
    </row>
    <row r="100" spans="1:10" ht="18.75">
      <c r="A100" s="249" t="s">
        <v>187</v>
      </c>
      <c r="B100" s="260" t="s">
        <v>194</v>
      </c>
      <c r="C100" s="230">
        <v>0</v>
      </c>
      <c r="D100" s="230">
        <v>0</v>
      </c>
      <c r="E100" s="230">
        <v>0</v>
      </c>
      <c r="F100" s="230">
        <v>0</v>
      </c>
      <c r="G100" s="230">
        <v>0</v>
      </c>
      <c r="H100" s="230">
        <v>0</v>
      </c>
      <c r="I100" s="230">
        <v>0</v>
      </c>
      <c r="J100" s="230">
        <v>0</v>
      </c>
    </row>
    <row r="101" spans="1:10" ht="18.75">
      <c r="A101" s="261" t="s">
        <v>189</v>
      </c>
      <c r="B101" s="262" t="s">
        <v>195</v>
      </c>
      <c r="C101" s="230">
        <v>0</v>
      </c>
      <c r="D101" s="230">
        <v>0</v>
      </c>
      <c r="E101" s="230">
        <v>0</v>
      </c>
      <c r="F101" s="230">
        <v>0</v>
      </c>
      <c r="G101" s="230">
        <v>0</v>
      </c>
      <c r="H101" s="230">
        <v>0</v>
      </c>
      <c r="I101" s="230">
        <v>0</v>
      </c>
      <c r="J101" s="230">
        <v>0</v>
      </c>
    </row>
    <row r="102" spans="1:10" ht="18.75" customHeight="1">
      <c r="A102" s="379" t="s">
        <v>196</v>
      </c>
      <c r="B102" s="379"/>
      <c r="C102" s="379"/>
      <c r="D102" s="379"/>
      <c r="E102" s="379"/>
      <c r="F102" s="379"/>
      <c r="G102" s="379"/>
      <c r="H102" s="379"/>
      <c r="I102" s="379"/>
      <c r="J102" s="379"/>
    </row>
    <row r="103" spans="1:10" ht="50.25">
      <c r="A103" s="237" t="s">
        <v>265</v>
      </c>
      <c r="B103" s="260" t="s">
        <v>198</v>
      </c>
      <c r="C103" s="263">
        <v>966</v>
      </c>
      <c r="D103" s="264">
        <v>996</v>
      </c>
      <c r="E103" s="264">
        <v>960</v>
      </c>
      <c r="F103" s="263">
        <v>955</v>
      </c>
      <c r="G103" s="263">
        <v>955</v>
      </c>
      <c r="H103" s="263">
        <f>H104+H105+H106</f>
        <v>955</v>
      </c>
      <c r="I103" s="263">
        <v>955</v>
      </c>
      <c r="J103" s="263">
        <f>J104+J105+J106</f>
        <v>955</v>
      </c>
    </row>
    <row r="104" spans="1:10" ht="18.75">
      <c r="A104" s="234" t="s">
        <v>199</v>
      </c>
      <c r="B104" s="260" t="s">
        <v>200</v>
      </c>
      <c r="C104" s="265">
        <v>1</v>
      </c>
      <c r="D104" s="266">
        <v>1</v>
      </c>
      <c r="E104" s="265">
        <v>1</v>
      </c>
      <c r="F104" s="267">
        <v>1</v>
      </c>
      <c r="G104" s="268">
        <v>1</v>
      </c>
      <c r="H104" s="268">
        <v>1</v>
      </c>
      <c r="I104" s="268">
        <v>1</v>
      </c>
      <c r="J104" s="268">
        <v>1</v>
      </c>
    </row>
    <row r="105" spans="1:10" ht="18.75">
      <c r="A105" s="234" t="s">
        <v>201</v>
      </c>
      <c r="B105" s="260" t="s">
        <v>202</v>
      </c>
      <c r="C105" s="269">
        <v>29</v>
      </c>
      <c r="D105" s="269">
        <v>31</v>
      </c>
      <c r="E105" s="269">
        <v>31</v>
      </c>
      <c r="F105" s="267">
        <v>31</v>
      </c>
      <c r="G105" s="268">
        <v>31</v>
      </c>
      <c r="H105" s="268">
        <v>31</v>
      </c>
      <c r="I105" s="268">
        <v>31</v>
      </c>
      <c r="J105" s="268">
        <v>31</v>
      </c>
    </row>
    <row r="106" spans="1:10" ht="18.75">
      <c r="A106" s="270" t="s">
        <v>203</v>
      </c>
      <c r="B106" s="271" t="s">
        <v>204</v>
      </c>
      <c r="C106" s="272">
        <v>936</v>
      </c>
      <c r="D106" s="272">
        <v>964</v>
      </c>
      <c r="E106" s="272">
        <v>928</v>
      </c>
      <c r="F106" s="273">
        <v>923</v>
      </c>
      <c r="G106" s="274">
        <v>923</v>
      </c>
      <c r="H106" s="274">
        <v>923</v>
      </c>
      <c r="I106" s="274">
        <v>923</v>
      </c>
      <c r="J106" s="275">
        <v>923</v>
      </c>
    </row>
    <row r="107" spans="1:10" ht="18.75" customHeight="1">
      <c r="A107" s="380" t="s">
        <v>245</v>
      </c>
      <c r="B107" s="380"/>
      <c r="C107" s="380"/>
      <c r="D107" s="380"/>
      <c r="E107" s="380"/>
      <c r="F107" s="380"/>
      <c r="G107" s="380"/>
      <c r="H107" s="380"/>
      <c r="I107" s="380"/>
      <c r="J107" s="380"/>
    </row>
    <row r="108" spans="1:10" ht="19.5">
      <c r="A108" s="239">
        <v>1</v>
      </c>
      <c r="B108" s="240">
        <v>2</v>
      </c>
      <c r="C108" s="241">
        <v>3</v>
      </c>
      <c r="D108" s="241">
        <v>4</v>
      </c>
      <c r="E108" s="241">
        <v>5</v>
      </c>
      <c r="F108" s="241">
        <v>6</v>
      </c>
      <c r="G108" s="241">
        <v>7</v>
      </c>
      <c r="H108" s="241">
        <v>8</v>
      </c>
      <c r="I108" s="241">
        <v>9</v>
      </c>
      <c r="J108" s="241">
        <v>10</v>
      </c>
    </row>
    <row r="109" spans="1:10" ht="18.75">
      <c r="A109" s="237" t="s">
        <v>86</v>
      </c>
      <c r="B109" s="260" t="s">
        <v>205</v>
      </c>
      <c r="C109" s="248">
        <v>42483.9</v>
      </c>
      <c r="D109" s="248">
        <v>47109</v>
      </c>
      <c r="E109" s="248">
        <v>47617.2</v>
      </c>
      <c r="F109" s="248">
        <f>G109+H109+I109+J109</f>
        <v>47035.399999999994</v>
      </c>
      <c r="G109" s="230">
        <v>12470.6</v>
      </c>
      <c r="H109" s="230">
        <v>11593.4</v>
      </c>
      <c r="I109" s="230">
        <v>11557.7</v>
      </c>
      <c r="J109" s="230">
        <v>11413.7</v>
      </c>
    </row>
    <row r="110" spans="1:10" ht="37.5">
      <c r="A110" s="237" t="s">
        <v>266</v>
      </c>
      <c r="B110" s="260" t="s">
        <v>208</v>
      </c>
      <c r="C110" s="276">
        <v>3665</v>
      </c>
      <c r="D110" s="276">
        <v>3942</v>
      </c>
      <c r="E110" s="276">
        <v>3984</v>
      </c>
      <c r="F110" s="276">
        <v>4104</v>
      </c>
      <c r="G110" s="230">
        <v>4353</v>
      </c>
      <c r="H110" s="230">
        <v>4047</v>
      </c>
      <c r="I110" s="230">
        <v>4034</v>
      </c>
      <c r="J110" s="230">
        <v>3984</v>
      </c>
    </row>
    <row r="111" spans="1:10" ht="18.75">
      <c r="A111" s="234" t="s">
        <v>199</v>
      </c>
      <c r="B111" s="260" t="s">
        <v>209</v>
      </c>
      <c r="C111" s="277">
        <v>9875</v>
      </c>
      <c r="D111" s="277">
        <v>12742</v>
      </c>
      <c r="E111" s="277">
        <v>12742</v>
      </c>
      <c r="F111" s="277">
        <v>13567</v>
      </c>
      <c r="G111" s="277">
        <v>13567</v>
      </c>
      <c r="H111" s="277">
        <v>13567</v>
      </c>
      <c r="I111" s="277">
        <v>13567</v>
      </c>
      <c r="J111" s="277">
        <v>13567</v>
      </c>
    </row>
    <row r="112" spans="1:10" ht="18.75">
      <c r="A112" s="234" t="s">
        <v>201</v>
      </c>
      <c r="B112" s="260" t="s">
        <v>210</v>
      </c>
      <c r="C112" s="277">
        <v>5016</v>
      </c>
      <c r="D112" s="277">
        <v>5314</v>
      </c>
      <c r="E112" s="277">
        <v>5314</v>
      </c>
      <c r="F112" s="277">
        <v>5562</v>
      </c>
      <c r="G112" s="230">
        <v>5562</v>
      </c>
      <c r="H112" s="230">
        <v>5562</v>
      </c>
      <c r="I112" s="230">
        <v>5562</v>
      </c>
      <c r="J112" s="230">
        <v>5562</v>
      </c>
    </row>
    <row r="113" spans="1:10" ht="18.75">
      <c r="A113" s="234" t="s">
        <v>203</v>
      </c>
      <c r="B113" s="260" t="s">
        <v>211</v>
      </c>
      <c r="C113" s="277">
        <v>3616</v>
      </c>
      <c r="D113" s="277">
        <v>3888</v>
      </c>
      <c r="E113" s="277">
        <v>4078</v>
      </c>
      <c r="F113" s="277">
        <v>4045</v>
      </c>
      <c r="G113" s="230">
        <v>4302</v>
      </c>
      <c r="H113" s="230">
        <v>3985</v>
      </c>
      <c r="I113" s="230">
        <v>3972</v>
      </c>
      <c r="J113" s="230">
        <v>3920</v>
      </c>
    </row>
    <row r="114" spans="1:10" ht="18.75">
      <c r="A114" s="278"/>
      <c r="B114" s="2"/>
      <c r="C114" s="279"/>
      <c r="D114" s="280"/>
      <c r="E114" s="280"/>
      <c r="F114" s="280"/>
      <c r="G114" s="281"/>
      <c r="H114" s="281"/>
      <c r="I114" s="281"/>
      <c r="J114" s="281"/>
    </row>
    <row r="115" spans="1:10" ht="88.5" customHeight="1">
      <c r="A115" s="282" t="s">
        <v>267</v>
      </c>
      <c r="B115" s="2"/>
      <c r="C115" s="383" t="s">
        <v>268</v>
      </c>
      <c r="D115" s="383"/>
      <c r="E115" s="383"/>
      <c r="F115" s="383"/>
      <c r="G115" s="284"/>
      <c r="H115" s="384" t="s">
        <v>269</v>
      </c>
      <c r="I115" s="384"/>
      <c r="J115" s="384"/>
    </row>
    <row r="116" spans="1:10" ht="18.75">
      <c r="A116" s="285"/>
      <c r="B116" s="2"/>
      <c r="C116" s="283"/>
      <c r="D116" s="283"/>
      <c r="E116" s="283"/>
      <c r="F116" s="283"/>
      <c r="G116" s="284"/>
      <c r="H116" s="44"/>
      <c r="I116" s="44"/>
      <c r="J116" s="44"/>
    </row>
    <row r="117" spans="1:10" ht="16.5" customHeight="1">
      <c r="A117" s="286"/>
      <c r="B117" s="197"/>
      <c r="C117" s="385" t="s">
        <v>270</v>
      </c>
      <c r="D117" s="385"/>
      <c r="E117" s="385"/>
      <c r="F117" s="385"/>
      <c r="G117" s="202"/>
      <c r="H117" s="386" t="s">
        <v>271</v>
      </c>
      <c r="I117" s="386"/>
      <c r="J117" s="386"/>
    </row>
    <row r="118" spans="1:10" ht="18.75">
      <c r="A118" s="1" t="s">
        <v>272</v>
      </c>
      <c r="B118" s="193"/>
      <c r="C118" s="192"/>
      <c r="D118" s="192"/>
      <c r="E118" s="192"/>
      <c r="F118" s="44"/>
      <c r="G118" s="44"/>
      <c r="H118" s="44"/>
      <c r="I118" s="44"/>
      <c r="J118" s="44"/>
    </row>
    <row r="119" spans="1:10" ht="18.75" customHeight="1">
      <c r="A119" s="387" t="s">
        <v>273</v>
      </c>
      <c r="B119" s="387"/>
      <c r="C119" s="192"/>
      <c r="D119" s="192"/>
      <c r="E119" s="192"/>
      <c r="F119" s="44"/>
      <c r="G119" s="44"/>
      <c r="H119" s="44"/>
      <c r="I119" s="44"/>
      <c r="J119" s="44"/>
    </row>
    <row r="120" spans="1:10" ht="18.75" customHeight="1">
      <c r="A120" s="388" t="s">
        <v>274</v>
      </c>
      <c r="B120" s="388"/>
      <c r="C120" s="192"/>
      <c r="D120" s="192"/>
      <c r="E120" s="192"/>
      <c r="F120" s="44"/>
      <c r="G120" s="44"/>
      <c r="H120" s="44"/>
      <c r="I120" s="44"/>
      <c r="J120" s="44"/>
    </row>
    <row r="121" spans="1:10" ht="18.75">
      <c r="A121" s="288" t="s">
        <v>275</v>
      </c>
      <c r="B121" s="288"/>
      <c r="C121" s="192"/>
      <c r="D121" s="192"/>
      <c r="E121" s="192"/>
      <c r="F121" s="44"/>
      <c r="G121" s="44"/>
      <c r="H121" s="44"/>
      <c r="I121" s="44"/>
      <c r="J121" s="44"/>
    </row>
    <row r="122" spans="1:10" ht="18.75" customHeight="1">
      <c r="A122" s="365" t="s">
        <v>276</v>
      </c>
      <c r="B122" s="365"/>
      <c r="C122" s="192"/>
      <c r="D122" s="192"/>
      <c r="E122" s="192"/>
      <c r="F122" s="44"/>
      <c r="G122" s="44"/>
      <c r="H122" s="44"/>
      <c r="I122" s="44"/>
      <c r="J122" s="44"/>
    </row>
    <row r="123" spans="1:10" ht="18.75">
      <c r="A123" s="286" t="s">
        <v>277</v>
      </c>
      <c r="B123" s="199"/>
      <c r="C123" s="192"/>
      <c r="D123" s="192"/>
      <c r="E123" s="192"/>
      <c r="F123" s="44"/>
      <c r="G123" s="44"/>
      <c r="H123" s="44"/>
      <c r="I123" s="44"/>
      <c r="J123" s="44"/>
    </row>
    <row r="124" spans="1:10" ht="18.75">
      <c r="A124" s="208" t="s">
        <v>278</v>
      </c>
      <c r="B124" s="2"/>
      <c r="C124" s="192"/>
      <c r="D124" s="192"/>
      <c r="E124" s="192"/>
      <c r="F124" s="44"/>
      <c r="G124" s="44"/>
      <c r="H124" s="44"/>
      <c r="I124" s="44"/>
      <c r="J124" s="44"/>
    </row>
    <row r="125" spans="1:10" ht="18.75">
      <c r="A125" s="1"/>
      <c r="B125" s="2"/>
      <c r="C125" s="192"/>
      <c r="D125" s="192"/>
      <c r="E125" s="192"/>
      <c r="F125" s="44"/>
      <c r="G125" s="44"/>
      <c r="H125" s="44"/>
      <c r="I125" s="44"/>
      <c r="J125" s="44"/>
    </row>
    <row r="126" spans="1:10" ht="18.75" customHeight="1">
      <c r="A126" s="387" t="s">
        <v>279</v>
      </c>
      <c r="B126" s="387"/>
      <c r="C126" s="192"/>
      <c r="D126" s="192"/>
      <c r="E126" s="192"/>
      <c r="F126" s="44"/>
      <c r="G126" s="44"/>
      <c r="H126" s="44"/>
      <c r="I126" s="44"/>
      <c r="J126" s="44"/>
    </row>
    <row r="127" spans="1:10" ht="18.75" customHeight="1">
      <c r="A127" s="388" t="s">
        <v>274</v>
      </c>
      <c r="B127" s="388"/>
      <c r="C127" s="192"/>
      <c r="D127" s="192"/>
      <c r="E127" s="192"/>
      <c r="F127" s="44"/>
      <c r="G127" s="44"/>
      <c r="H127" s="44"/>
      <c r="I127" s="44"/>
      <c r="J127" s="44"/>
    </row>
    <row r="128" spans="1:10" ht="18.75">
      <c r="A128" s="288" t="s">
        <v>280</v>
      </c>
      <c r="B128" s="288"/>
      <c r="C128" s="192"/>
      <c r="D128" s="192"/>
      <c r="E128" s="192"/>
      <c r="F128" s="44"/>
      <c r="G128" s="44"/>
      <c r="H128" s="44"/>
      <c r="I128" s="44"/>
      <c r="J128" s="44"/>
    </row>
    <row r="129" spans="1:10" ht="18.75" customHeight="1">
      <c r="A129" s="365" t="s">
        <v>276</v>
      </c>
      <c r="B129" s="365"/>
      <c r="C129" s="192"/>
      <c r="D129" s="192"/>
      <c r="E129" s="192"/>
      <c r="F129" s="44"/>
      <c r="G129" s="44"/>
      <c r="H129" s="44"/>
      <c r="I129" s="44"/>
      <c r="J129" s="44"/>
    </row>
    <row r="130" spans="1:10" ht="18.75">
      <c r="A130" s="286" t="s">
        <v>277</v>
      </c>
      <c r="B130" s="199"/>
      <c r="C130" s="192"/>
      <c r="D130" s="192"/>
      <c r="E130" s="192"/>
      <c r="F130" s="44"/>
      <c r="G130" s="44"/>
      <c r="H130" s="44"/>
      <c r="I130" s="44"/>
      <c r="J130" s="44"/>
    </row>
    <row r="131" spans="1:10" ht="18.75">
      <c r="A131" s="208" t="s">
        <v>278</v>
      </c>
      <c r="B131" s="2"/>
      <c r="C131" s="192"/>
      <c r="D131" s="192"/>
      <c r="E131" s="192"/>
      <c r="F131" s="44"/>
      <c r="G131" s="44"/>
      <c r="H131" s="44"/>
      <c r="I131" s="44"/>
      <c r="J131" s="44"/>
    </row>
    <row r="132" spans="1:10" ht="18.75">
      <c r="A132" s="1"/>
      <c r="B132" s="2"/>
      <c r="C132" s="192"/>
      <c r="D132" s="192"/>
      <c r="E132" s="192"/>
      <c r="F132" s="44"/>
      <c r="G132" s="44"/>
      <c r="H132" s="44"/>
      <c r="I132" s="44"/>
      <c r="J132" s="44"/>
    </row>
    <row r="133" spans="1:10" ht="18.75" customHeight="1">
      <c r="A133" s="387" t="s">
        <v>281</v>
      </c>
      <c r="B133" s="387"/>
      <c r="C133" s="192"/>
      <c r="D133" s="192"/>
      <c r="E133" s="192"/>
      <c r="F133" s="44"/>
      <c r="G133" s="44"/>
      <c r="H133" s="44"/>
      <c r="I133" s="44"/>
      <c r="J133" s="44"/>
    </row>
    <row r="134" spans="1:10" ht="18.75">
      <c r="A134" s="287" t="s">
        <v>282</v>
      </c>
      <c r="B134" s="287"/>
      <c r="C134" s="192"/>
      <c r="D134" s="192"/>
      <c r="E134" s="192"/>
      <c r="F134" s="44"/>
      <c r="G134" s="44"/>
      <c r="H134" s="44"/>
      <c r="I134" s="44"/>
      <c r="J134" s="44"/>
    </row>
    <row r="135" spans="1:10" ht="18.75" customHeight="1">
      <c r="A135" s="388" t="s">
        <v>274</v>
      </c>
      <c r="B135" s="388"/>
      <c r="C135" s="192"/>
      <c r="D135" s="192"/>
      <c r="E135" s="192"/>
      <c r="F135" s="44"/>
      <c r="G135" s="44"/>
      <c r="H135" s="44"/>
      <c r="I135" s="44"/>
      <c r="J135" s="44"/>
    </row>
    <row r="136" spans="1:10" ht="18.75">
      <c r="A136" s="288" t="s">
        <v>283</v>
      </c>
      <c r="B136" s="288"/>
      <c r="C136" s="192"/>
      <c r="D136" s="192"/>
      <c r="E136" s="192"/>
      <c r="F136" s="44"/>
      <c r="G136" s="44"/>
      <c r="H136" s="44"/>
      <c r="I136" s="44"/>
      <c r="J136" s="44"/>
    </row>
    <row r="137" spans="1:10" ht="18.75" customHeight="1">
      <c r="A137" s="365" t="s">
        <v>276</v>
      </c>
      <c r="B137" s="365"/>
      <c r="C137" s="192"/>
      <c r="D137" s="192"/>
      <c r="E137" s="192"/>
      <c r="F137" s="44"/>
      <c r="G137" s="44"/>
      <c r="H137" s="44"/>
      <c r="I137" s="44"/>
      <c r="J137" s="44"/>
    </row>
    <row r="138" spans="1:10" ht="18.75">
      <c r="A138" s="286" t="s">
        <v>277</v>
      </c>
      <c r="B138" s="199"/>
      <c r="C138" s="192"/>
      <c r="D138" s="192"/>
      <c r="E138" s="192"/>
      <c r="F138" s="44"/>
      <c r="G138" s="44"/>
      <c r="H138" s="44"/>
      <c r="I138" s="44"/>
      <c r="J138" s="44"/>
    </row>
    <row r="139" spans="1:10" ht="18.75">
      <c r="A139" s="208" t="s">
        <v>278</v>
      </c>
      <c r="B139" s="2"/>
      <c r="C139" s="192"/>
      <c r="D139" s="192"/>
      <c r="E139" s="192"/>
      <c r="F139" s="44"/>
      <c r="G139" s="44"/>
      <c r="H139" s="44"/>
      <c r="I139" s="44"/>
      <c r="J139" s="44"/>
    </row>
  </sheetData>
  <sheetProtection selectLockedCells="1" selectUnlockedCells="1"/>
  <mergeCells count="58">
    <mergeCell ref="A127:B127"/>
    <mergeCell ref="A129:B129"/>
    <mergeCell ref="A133:B133"/>
    <mergeCell ref="A135:B135"/>
    <mergeCell ref="A137:B137"/>
    <mergeCell ref="C117:F117"/>
    <mergeCell ref="H117:J117"/>
    <mergeCell ref="A119:B119"/>
    <mergeCell ref="A120:B120"/>
    <mergeCell ref="A122:B122"/>
    <mergeCell ref="A126:B126"/>
    <mergeCell ref="A78:J78"/>
    <mergeCell ref="A93:J93"/>
    <mergeCell ref="A102:J102"/>
    <mergeCell ref="A107:J107"/>
    <mergeCell ref="C115:F115"/>
    <mergeCell ref="H115:J115"/>
    <mergeCell ref="G32:J32"/>
    <mergeCell ref="A35:J35"/>
    <mergeCell ref="A58:J58"/>
    <mergeCell ref="A60:J60"/>
    <mergeCell ref="A73:J73"/>
    <mergeCell ref="A76:J76"/>
    <mergeCell ref="B26:F26"/>
    <mergeCell ref="B27:F27"/>
    <mergeCell ref="A28:J28"/>
    <mergeCell ref="A30:J30"/>
    <mergeCell ref="A32:A33"/>
    <mergeCell ref="B32:B33"/>
    <mergeCell ref="C32:C33"/>
    <mergeCell ref="D32:D33"/>
    <mergeCell ref="E32:E33"/>
    <mergeCell ref="F32:F33"/>
    <mergeCell ref="B21:F21"/>
    <mergeCell ref="B22:I22"/>
    <mergeCell ref="B23:F23"/>
    <mergeCell ref="G23:I23"/>
    <mergeCell ref="B24:F24"/>
    <mergeCell ref="B25:F25"/>
    <mergeCell ref="B15:F15"/>
    <mergeCell ref="B16:F16"/>
    <mergeCell ref="B17:F17"/>
    <mergeCell ref="B18:F18"/>
    <mergeCell ref="B19:F19"/>
    <mergeCell ref="B20:F20"/>
    <mergeCell ref="A11:B11"/>
    <mergeCell ref="E11:J11"/>
    <mergeCell ref="A12:B12"/>
    <mergeCell ref="A13:B13"/>
    <mergeCell ref="A14:B14"/>
    <mergeCell ref="G14:J14"/>
    <mergeCell ref="B1:J1"/>
    <mergeCell ref="E2:J5"/>
    <mergeCell ref="E7:F7"/>
    <mergeCell ref="A8:B8"/>
    <mergeCell ref="E8:J8"/>
    <mergeCell ref="A9:B9"/>
    <mergeCell ref="E9:J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zoomScale="60" zoomScaleNormal="60" zoomScaleSheetLayoutView="50" zoomScalePageLayoutView="0" workbookViewId="0" topLeftCell="A1">
      <pane xSplit="5" ySplit="6" topLeftCell="F151" activePane="bottomRight" state="frozen"/>
      <selection pane="topLeft" activeCell="A1" sqref="A1"/>
      <selection pane="topRight" activeCell="F1" sqref="F1"/>
      <selection pane="bottomLeft" activeCell="A151" sqref="A151"/>
      <selection pane="bottomRight" activeCell="B7" sqref="B7"/>
    </sheetView>
  </sheetViews>
  <sheetFormatPr defaultColWidth="11.625" defaultRowHeight="12.75"/>
  <cols>
    <col min="1" max="1" width="62.625" style="0" customWidth="1"/>
    <col min="2" max="2" width="17.875" style="0" customWidth="1"/>
    <col min="3" max="5" width="0" style="0" hidden="1" customWidth="1"/>
    <col min="6" max="10" width="17.875" style="0" customWidth="1"/>
    <col min="11" max="11" width="35.75390625" style="0" customWidth="1"/>
  </cols>
  <sheetData>
    <row r="1" spans="1:11" ht="18.75" customHeight="1">
      <c r="A1" s="389" t="s">
        <v>284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18.75">
      <c r="A2" s="289"/>
      <c r="B2" s="290"/>
      <c r="C2" s="291"/>
      <c r="D2" s="291"/>
      <c r="E2" s="292"/>
      <c r="F2" s="291"/>
      <c r="G2" s="291"/>
      <c r="H2" s="291"/>
      <c r="I2" s="291"/>
      <c r="J2" s="291"/>
      <c r="K2" s="293"/>
    </row>
    <row r="3" spans="1:11" ht="25.5" customHeight="1">
      <c r="A3" s="390" t="s">
        <v>31</v>
      </c>
      <c r="B3" s="391" t="s">
        <v>32</v>
      </c>
      <c r="C3" s="392" t="s">
        <v>228</v>
      </c>
      <c r="D3" s="392" t="s">
        <v>285</v>
      </c>
      <c r="E3" s="393" t="s">
        <v>230</v>
      </c>
      <c r="F3" s="392" t="s">
        <v>286</v>
      </c>
      <c r="G3" s="392" t="s">
        <v>287</v>
      </c>
      <c r="H3" s="392"/>
      <c r="I3" s="392"/>
      <c r="J3" s="392"/>
      <c r="K3" s="391" t="s">
        <v>288</v>
      </c>
    </row>
    <row r="4" spans="1:11" ht="29.25" customHeight="1">
      <c r="A4" s="390"/>
      <c r="B4" s="391"/>
      <c r="C4" s="392"/>
      <c r="D4" s="392"/>
      <c r="E4" s="393"/>
      <c r="F4" s="392"/>
      <c r="G4" s="297" t="s">
        <v>233</v>
      </c>
      <c r="H4" s="297" t="s">
        <v>234</v>
      </c>
      <c r="I4" s="297" t="s">
        <v>235</v>
      </c>
      <c r="J4" s="297" t="s">
        <v>236</v>
      </c>
      <c r="K4" s="391"/>
    </row>
    <row r="5" spans="1:11" ht="18.75">
      <c r="A5" s="294">
        <v>1</v>
      </c>
      <c r="B5" s="295">
        <v>2</v>
      </c>
      <c r="C5" s="296">
        <v>3</v>
      </c>
      <c r="D5" s="296">
        <v>4</v>
      </c>
      <c r="E5" s="296">
        <v>5</v>
      </c>
      <c r="F5" s="296">
        <v>6</v>
      </c>
      <c r="G5" s="296">
        <v>7</v>
      </c>
      <c r="H5" s="296">
        <v>8</v>
      </c>
      <c r="I5" s="296">
        <v>9</v>
      </c>
      <c r="J5" s="296">
        <v>10</v>
      </c>
      <c r="K5" s="295">
        <v>11</v>
      </c>
    </row>
    <row r="6" spans="1:11" ht="18.75">
      <c r="A6" s="298" t="s">
        <v>289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</row>
    <row r="7" spans="1:11" ht="37.5">
      <c r="A7" s="299" t="s">
        <v>46</v>
      </c>
      <c r="B7" s="294">
        <v>1000</v>
      </c>
      <c r="C7" s="300">
        <v>11162.9</v>
      </c>
      <c r="D7" s="300">
        <v>11550</v>
      </c>
      <c r="E7" s="300">
        <v>10200</v>
      </c>
      <c r="F7" s="300">
        <f>G7+H7+I7+J7</f>
        <v>19636</v>
      </c>
      <c r="G7" s="300">
        <v>4789.5</v>
      </c>
      <c r="H7" s="300">
        <v>5108.3</v>
      </c>
      <c r="I7" s="300">
        <v>4693.9</v>
      </c>
      <c r="J7" s="300">
        <v>5044.3</v>
      </c>
      <c r="K7" s="301"/>
    </row>
    <row r="8" spans="1:11" ht="37.5">
      <c r="A8" s="299" t="s">
        <v>48</v>
      </c>
      <c r="B8" s="294">
        <v>1010</v>
      </c>
      <c r="C8" s="300">
        <f>SUM(C9:C16)</f>
        <v>81828.09999999999</v>
      </c>
      <c r="D8" s="300">
        <f aca="true" t="shared" si="0" ref="D8:J8">D9+D10+D11+D12+D13+D14+D15+D16</f>
        <v>90349.1</v>
      </c>
      <c r="E8" s="300">
        <f t="shared" si="0"/>
        <v>90359.70000000001</v>
      </c>
      <c r="F8" s="300">
        <f t="shared" si="0"/>
        <v>102765.70000000001</v>
      </c>
      <c r="G8" s="300">
        <f t="shared" si="0"/>
        <v>31434.600000000002</v>
      </c>
      <c r="H8" s="300">
        <f t="shared" si="0"/>
        <v>24333.4</v>
      </c>
      <c r="I8" s="300">
        <f t="shared" si="0"/>
        <v>22288.899999999998</v>
      </c>
      <c r="J8" s="300">
        <f t="shared" si="0"/>
        <v>24708.800000000003</v>
      </c>
      <c r="K8" s="302"/>
    </row>
    <row r="9" spans="1:11" ht="18.75">
      <c r="A9" s="299" t="s">
        <v>290</v>
      </c>
      <c r="B9" s="295">
        <v>1011</v>
      </c>
      <c r="C9" s="300">
        <v>3360.1</v>
      </c>
      <c r="D9" s="300">
        <v>9540</v>
      </c>
      <c r="E9" s="300">
        <v>3800</v>
      </c>
      <c r="F9" s="300">
        <f aca="true" t="shared" si="1" ref="F9:F15">G9+H9+I9+J9</f>
        <v>3145.8</v>
      </c>
      <c r="G9" s="300">
        <v>936.3</v>
      </c>
      <c r="H9" s="300">
        <v>930.1</v>
      </c>
      <c r="I9" s="300">
        <v>803</v>
      </c>
      <c r="J9" s="300">
        <v>476.4</v>
      </c>
      <c r="K9" s="302"/>
    </row>
    <row r="10" spans="1:11" ht="18.75">
      <c r="A10" s="299" t="s">
        <v>291</v>
      </c>
      <c r="B10" s="295">
        <v>1012</v>
      </c>
      <c r="C10" s="300">
        <v>857.8</v>
      </c>
      <c r="D10" s="300">
        <v>1068.4</v>
      </c>
      <c r="E10" s="300">
        <v>2600</v>
      </c>
      <c r="F10" s="300">
        <f t="shared" si="1"/>
        <v>4461.1</v>
      </c>
      <c r="G10" s="300">
        <v>3838</v>
      </c>
      <c r="H10" s="300">
        <v>50</v>
      </c>
      <c r="I10" s="300">
        <v>100</v>
      </c>
      <c r="J10" s="300">
        <v>473.1</v>
      </c>
      <c r="K10" s="302"/>
    </row>
    <row r="11" spans="1:11" ht="18.75">
      <c r="A11" s="299" t="s">
        <v>292</v>
      </c>
      <c r="B11" s="295">
        <v>1013</v>
      </c>
      <c r="C11" s="300">
        <v>7721.9</v>
      </c>
      <c r="D11" s="300">
        <v>16227.1</v>
      </c>
      <c r="E11" s="300">
        <v>15091</v>
      </c>
      <c r="F11" s="300">
        <f t="shared" si="1"/>
        <v>31004.6</v>
      </c>
      <c r="G11" s="300">
        <v>9754.9</v>
      </c>
      <c r="H11" s="300">
        <v>7531.4</v>
      </c>
      <c r="I11" s="300">
        <v>5600.7</v>
      </c>
      <c r="J11" s="300">
        <v>8117.6</v>
      </c>
      <c r="K11" s="302"/>
    </row>
    <row r="12" spans="1:11" ht="18.75">
      <c r="A12" s="299" t="s">
        <v>86</v>
      </c>
      <c r="B12" s="295">
        <v>1014</v>
      </c>
      <c r="C12" s="300">
        <v>40619.8</v>
      </c>
      <c r="D12" s="300">
        <v>44979.4</v>
      </c>
      <c r="E12" s="300">
        <v>45487.6</v>
      </c>
      <c r="F12" s="300">
        <f t="shared" si="1"/>
        <v>44685.6</v>
      </c>
      <c r="G12" s="300">
        <v>11886.1</v>
      </c>
      <c r="H12" s="300">
        <v>11037.3</v>
      </c>
      <c r="I12" s="300">
        <v>10953.1</v>
      </c>
      <c r="J12" s="300">
        <v>10809.1</v>
      </c>
      <c r="K12" s="302"/>
    </row>
    <row r="13" spans="1:11" ht="18.75">
      <c r="A13" s="299" t="s">
        <v>87</v>
      </c>
      <c r="B13" s="295">
        <v>1015</v>
      </c>
      <c r="C13" s="300">
        <v>15160.4</v>
      </c>
      <c r="D13" s="300">
        <v>9895.6</v>
      </c>
      <c r="E13" s="300">
        <v>10007.3</v>
      </c>
      <c r="F13" s="300">
        <f t="shared" si="1"/>
        <v>9830.8</v>
      </c>
      <c r="G13" s="300">
        <v>2614.9</v>
      </c>
      <c r="H13" s="300">
        <v>2428.2</v>
      </c>
      <c r="I13" s="300">
        <v>2409.7</v>
      </c>
      <c r="J13" s="300">
        <v>2378</v>
      </c>
      <c r="K13" s="302"/>
    </row>
    <row r="14" spans="1:11" ht="58.5" customHeight="1">
      <c r="A14" s="299" t="s">
        <v>293</v>
      </c>
      <c r="B14" s="295">
        <v>1016</v>
      </c>
      <c r="C14" s="300">
        <v>227.7</v>
      </c>
      <c r="D14" s="300">
        <v>56.6</v>
      </c>
      <c r="E14" s="300">
        <v>140</v>
      </c>
      <c r="F14" s="300">
        <f t="shared" si="1"/>
        <v>150</v>
      </c>
      <c r="G14" s="300">
        <v>52.6</v>
      </c>
      <c r="H14" s="300">
        <v>54.4</v>
      </c>
      <c r="I14" s="300">
        <v>1.3</v>
      </c>
      <c r="J14" s="300">
        <v>41.7</v>
      </c>
      <c r="K14" s="302"/>
    </row>
    <row r="15" spans="1:11" ht="37.5">
      <c r="A15" s="299" t="s">
        <v>294</v>
      </c>
      <c r="B15" s="295">
        <v>1017</v>
      </c>
      <c r="C15" s="300">
        <v>7793.4</v>
      </c>
      <c r="D15" s="300">
        <v>7765</v>
      </c>
      <c r="E15" s="300">
        <v>7546</v>
      </c>
      <c r="F15" s="300">
        <f t="shared" si="1"/>
        <v>7680</v>
      </c>
      <c r="G15" s="300">
        <v>1920</v>
      </c>
      <c r="H15" s="300">
        <v>1920</v>
      </c>
      <c r="I15" s="300">
        <v>1920</v>
      </c>
      <c r="J15" s="300">
        <v>1920</v>
      </c>
      <c r="K15" s="302"/>
    </row>
    <row r="16" spans="1:11" ht="18.75">
      <c r="A16" s="299" t="s">
        <v>295</v>
      </c>
      <c r="B16" s="295">
        <v>1018</v>
      </c>
      <c r="C16" s="300">
        <f aca="true" t="shared" si="2" ref="C16:J16">C17+C18+C19+C20+C21+C22+C23+C24+C25+C26+C27+C28+C29+C30+C31+C32+C33+C34+C35+C36+C37+C38+C39</f>
        <v>6087</v>
      </c>
      <c r="D16" s="300">
        <f t="shared" si="2"/>
        <v>817</v>
      </c>
      <c r="E16" s="300">
        <f t="shared" si="2"/>
        <v>5687.8</v>
      </c>
      <c r="F16" s="300">
        <f t="shared" si="2"/>
        <v>1807.8</v>
      </c>
      <c r="G16" s="300">
        <f t="shared" si="2"/>
        <v>431.79999999999995</v>
      </c>
      <c r="H16" s="300">
        <f t="shared" si="2"/>
        <v>382</v>
      </c>
      <c r="I16" s="300">
        <f t="shared" si="2"/>
        <v>501.1</v>
      </c>
      <c r="J16" s="300">
        <f t="shared" si="2"/>
        <v>492.9</v>
      </c>
      <c r="K16" s="302"/>
    </row>
    <row r="17" spans="1:11" ht="18.75">
      <c r="A17" s="299" t="s">
        <v>296</v>
      </c>
      <c r="B17" s="295"/>
      <c r="C17" s="300">
        <v>13.2</v>
      </c>
      <c r="D17" s="300">
        <v>15</v>
      </c>
      <c r="E17" s="300">
        <v>14.5</v>
      </c>
      <c r="F17" s="300">
        <f>G17+H17+I17+J17</f>
        <v>15</v>
      </c>
      <c r="G17" s="300">
        <v>0</v>
      </c>
      <c r="H17" s="300">
        <v>0</v>
      </c>
      <c r="I17" s="300">
        <v>7.5</v>
      </c>
      <c r="J17" s="300">
        <v>7.5</v>
      </c>
      <c r="K17" s="302"/>
    </row>
    <row r="18" spans="1:11" ht="18.75">
      <c r="A18" s="299" t="s">
        <v>297</v>
      </c>
      <c r="B18" s="295"/>
      <c r="C18" s="300">
        <v>127.5</v>
      </c>
      <c r="D18" s="300">
        <v>146.2</v>
      </c>
      <c r="E18" s="300">
        <v>145.9</v>
      </c>
      <c r="F18" s="300">
        <f>G18+H18+I18+J18</f>
        <v>177.7</v>
      </c>
      <c r="G18" s="300">
        <v>38.9</v>
      </c>
      <c r="H18" s="300">
        <v>44</v>
      </c>
      <c r="I18" s="300">
        <v>48.3</v>
      </c>
      <c r="J18" s="300">
        <v>46.5</v>
      </c>
      <c r="K18" s="302"/>
    </row>
    <row r="19" spans="1:11" ht="18.75">
      <c r="A19" s="299" t="s">
        <v>298</v>
      </c>
      <c r="B19" s="295"/>
      <c r="C19" s="300">
        <v>6.3</v>
      </c>
      <c r="D19" s="300">
        <v>0</v>
      </c>
      <c r="E19" s="300">
        <v>8</v>
      </c>
      <c r="F19" s="300">
        <v>0</v>
      </c>
      <c r="G19" s="300">
        <v>0</v>
      </c>
      <c r="H19" s="300">
        <v>0</v>
      </c>
      <c r="I19" s="300">
        <v>0</v>
      </c>
      <c r="J19" s="300">
        <v>0</v>
      </c>
      <c r="K19" s="302"/>
    </row>
    <row r="20" spans="1:11" ht="18.75">
      <c r="A20" s="299" t="s">
        <v>299</v>
      </c>
      <c r="B20" s="295"/>
      <c r="C20" s="300">
        <v>14.2</v>
      </c>
      <c r="D20" s="300">
        <v>0</v>
      </c>
      <c r="E20" s="300">
        <v>10</v>
      </c>
      <c r="F20" s="300">
        <v>0</v>
      </c>
      <c r="G20" s="300">
        <v>0</v>
      </c>
      <c r="H20" s="300">
        <v>0</v>
      </c>
      <c r="I20" s="300">
        <v>0</v>
      </c>
      <c r="J20" s="300">
        <v>0</v>
      </c>
      <c r="K20" s="302"/>
    </row>
    <row r="21" spans="1:11" ht="37.5">
      <c r="A21" s="299" t="s">
        <v>300</v>
      </c>
      <c r="B21" s="295"/>
      <c r="C21" s="300">
        <v>39.8</v>
      </c>
      <c r="D21" s="300">
        <v>0</v>
      </c>
      <c r="E21" s="300">
        <v>62.2</v>
      </c>
      <c r="F21" s="300">
        <v>0</v>
      </c>
      <c r="G21" s="300">
        <v>0</v>
      </c>
      <c r="H21" s="300">
        <v>0</v>
      </c>
      <c r="I21" s="300">
        <v>0</v>
      </c>
      <c r="J21" s="300">
        <v>0</v>
      </c>
      <c r="K21" s="302"/>
    </row>
    <row r="22" spans="1:11" ht="18.75">
      <c r="A22" s="299" t="s">
        <v>301</v>
      </c>
      <c r="B22" s="295"/>
      <c r="C22" s="300">
        <v>60.6</v>
      </c>
      <c r="D22" s="300">
        <v>0</v>
      </c>
      <c r="E22" s="300">
        <v>18.8</v>
      </c>
      <c r="F22" s="300">
        <f>G22+H22+I22+J22</f>
        <v>70</v>
      </c>
      <c r="G22" s="300">
        <v>0</v>
      </c>
      <c r="H22" s="300">
        <v>0</v>
      </c>
      <c r="I22" s="300">
        <v>0</v>
      </c>
      <c r="J22" s="300">
        <v>70</v>
      </c>
      <c r="K22" s="302"/>
    </row>
    <row r="23" spans="1:11" ht="18.75">
      <c r="A23" s="299" t="s">
        <v>302</v>
      </c>
      <c r="B23" s="295"/>
      <c r="C23" s="300">
        <v>13.9</v>
      </c>
      <c r="D23" s="300">
        <v>0</v>
      </c>
      <c r="E23" s="300">
        <v>39</v>
      </c>
      <c r="F23" s="300">
        <f>G23+H23+I23+J23</f>
        <v>20</v>
      </c>
      <c r="G23" s="300">
        <v>0</v>
      </c>
      <c r="H23" s="300">
        <v>0</v>
      </c>
      <c r="I23" s="300">
        <v>0</v>
      </c>
      <c r="J23" s="300">
        <v>20</v>
      </c>
      <c r="K23" s="302"/>
    </row>
    <row r="24" spans="1:11" ht="18.75">
      <c r="A24" s="299" t="s">
        <v>303</v>
      </c>
      <c r="B24" s="295"/>
      <c r="C24" s="300">
        <v>252.2</v>
      </c>
      <c r="D24" s="300">
        <v>350</v>
      </c>
      <c r="E24" s="300">
        <v>400</v>
      </c>
      <c r="F24" s="300">
        <f>G24+H24+I24+J24</f>
        <v>340</v>
      </c>
      <c r="G24" s="300">
        <v>25</v>
      </c>
      <c r="H24" s="300">
        <v>125</v>
      </c>
      <c r="I24" s="300">
        <v>145</v>
      </c>
      <c r="J24" s="300">
        <v>45</v>
      </c>
      <c r="K24" s="302"/>
    </row>
    <row r="25" spans="1:11" ht="18.75">
      <c r="A25" s="299" t="s">
        <v>304</v>
      </c>
      <c r="B25" s="295"/>
      <c r="C25" s="300">
        <v>105.3</v>
      </c>
      <c r="D25" s="300">
        <v>0</v>
      </c>
      <c r="E25" s="300">
        <v>15.2</v>
      </c>
      <c r="F25" s="300">
        <f>G25+H25+I25+J25</f>
        <v>610</v>
      </c>
      <c r="G25" s="300">
        <v>260</v>
      </c>
      <c r="H25" s="300">
        <v>0</v>
      </c>
      <c r="I25" s="300">
        <v>150</v>
      </c>
      <c r="J25" s="300">
        <v>200</v>
      </c>
      <c r="K25" s="302"/>
    </row>
    <row r="26" spans="1:11" ht="18.75">
      <c r="A26" s="299" t="s">
        <v>305</v>
      </c>
      <c r="B26" s="295"/>
      <c r="C26" s="300">
        <v>12.3</v>
      </c>
      <c r="D26" s="300">
        <v>0</v>
      </c>
      <c r="E26" s="300">
        <v>21.5</v>
      </c>
      <c r="F26" s="300">
        <f>G26+H26+I26+J26</f>
        <v>15</v>
      </c>
      <c r="G26" s="300">
        <v>0</v>
      </c>
      <c r="H26" s="300">
        <v>0</v>
      </c>
      <c r="I26" s="300">
        <v>0</v>
      </c>
      <c r="J26" s="300">
        <v>15</v>
      </c>
      <c r="K26" s="302"/>
    </row>
    <row r="27" spans="1:11" ht="18.75">
      <c r="A27" s="299" t="s">
        <v>306</v>
      </c>
      <c r="B27" s="295"/>
      <c r="C27" s="300">
        <v>18.8</v>
      </c>
      <c r="D27" s="300">
        <v>0</v>
      </c>
      <c r="E27" s="300">
        <v>32.8</v>
      </c>
      <c r="F27" s="300">
        <v>0</v>
      </c>
      <c r="G27" s="300">
        <v>0</v>
      </c>
      <c r="H27" s="300">
        <v>0</v>
      </c>
      <c r="I27" s="300">
        <v>0</v>
      </c>
      <c r="J27" s="300">
        <v>0</v>
      </c>
      <c r="K27" s="302"/>
    </row>
    <row r="28" spans="1:11" ht="37.5">
      <c r="A28" s="299" t="s">
        <v>307</v>
      </c>
      <c r="B28" s="295"/>
      <c r="C28" s="300">
        <v>30.5</v>
      </c>
      <c r="D28" s="300">
        <v>0</v>
      </c>
      <c r="E28" s="300">
        <v>4</v>
      </c>
      <c r="F28" s="300">
        <v>0</v>
      </c>
      <c r="G28" s="300">
        <v>0</v>
      </c>
      <c r="H28" s="300">
        <v>0</v>
      </c>
      <c r="I28" s="300">
        <v>0</v>
      </c>
      <c r="J28" s="300">
        <v>0</v>
      </c>
      <c r="K28" s="302"/>
    </row>
    <row r="29" spans="1:11" ht="18.75">
      <c r="A29" s="299" t="s">
        <v>308</v>
      </c>
      <c r="B29" s="295"/>
      <c r="C29" s="300">
        <v>29.6</v>
      </c>
      <c r="D29" s="300">
        <v>0</v>
      </c>
      <c r="E29" s="300">
        <v>32.6</v>
      </c>
      <c r="F29" s="300">
        <v>0</v>
      </c>
      <c r="G29" s="300">
        <v>0</v>
      </c>
      <c r="H29" s="300">
        <v>0</v>
      </c>
      <c r="I29" s="300">
        <v>0</v>
      </c>
      <c r="J29" s="300">
        <v>0</v>
      </c>
      <c r="K29" s="302"/>
    </row>
    <row r="30" spans="1:11" ht="18.75">
      <c r="A30" s="299" t="s">
        <v>309</v>
      </c>
      <c r="B30" s="295"/>
      <c r="C30" s="300">
        <v>64.1</v>
      </c>
      <c r="D30" s="300">
        <v>60.8</v>
      </c>
      <c r="E30" s="300">
        <v>40.4</v>
      </c>
      <c r="F30" s="300">
        <f>G30+H30+I30+J30</f>
        <v>70</v>
      </c>
      <c r="G30" s="300">
        <v>0</v>
      </c>
      <c r="H30" s="300">
        <v>70</v>
      </c>
      <c r="I30" s="300">
        <v>0</v>
      </c>
      <c r="J30" s="300">
        <v>0</v>
      </c>
      <c r="K30" s="302"/>
    </row>
    <row r="31" spans="1:11" ht="18.75">
      <c r="A31" s="299" t="s">
        <v>310</v>
      </c>
      <c r="B31" s="295"/>
      <c r="C31" s="300">
        <v>93.8</v>
      </c>
      <c r="D31" s="300">
        <v>50</v>
      </c>
      <c r="E31" s="300">
        <v>87.6</v>
      </c>
      <c r="F31" s="300">
        <f>G31+H31+I31+J31</f>
        <v>100</v>
      </c>
      <c r="G31" s="300">
        <v>25</v>
      </c>
      <c r="H31" s="300">
        <v>25</v>
      </c>
      <c r="I31" s="300">
        <v>25</v>
      </c>
      <c r="J31" s="300">
        <v>25</v>
      </c>
      <c r="K31" s="302"/>
    </row>
    <row r="32" spans="1:11" ht="18.75">
      <c r="A32" s="299" t="s">
        <v>311</v>
      </c>
      <c r="B32" s="295"/>
      <c r="C32" s="300">
        <v>33</v>
      </c>
      <c r="D32" s="300">
        <v>15</v>
      </c>
      <c r="E32" s="300">
        <v>130</v>
      </c>
      <c r="F32" s="300">
        <f>G32+H32+I32+J32</f>
        <v>15</v>
      </c>
      <c r="G32" s="300">
        <v>0</v>
      </c>
      <c r="H32" s="300">
        <v>0</v>
      </c>
      <c r="I32" s="300">
        <v>0</v>
      </c>
      <c r="J32" s="300">
        <v>15</v>
      </c>
      <c r="K32" s="302"/>
    </row>
    <row r="33" spans="1:11" ht="18.75">
      <c r="A33" s="299" t="s">
        <v>312</v>
      </c>
      <c r="B33" s="295"/>
      <c r="C33" s="300">
        <v>2.5</v>
      </c>
      <c r="D33" s="300">
        <v>0</v>
      </c>
      <c r="E33" s="300">
        <v>20.8</v>
      </c>
      <c r="F33" s="300">
        <v>0</v>
      </c>
      <c r="G33" s="300">
        <v>0</v>
      </c>
      <c r="H33" s="300">
        <v>0</v>
      </c>
      <c r="I33" s="300">
        <v>0</v>
      </c>
      <c r="J33" s="300">
        <v>0</v>
      </c>
      <c r="K33" s="302"/>
    </row>
    <row r="34" spans="1:11" ht="18.75">
      <c r="A34" s="299" t="s">
        <v>313</v>
      </c>
      <c r="B34" s="295"/>
      <c r="C34" s="300">
        <v>13.8</v>
      </c>
      <c r="D34" s="300">
        <v>15</v>
      </c>
      <c r="E34" s="300">
        <v>6.5</v>
      </c>
      <c r="F34" s="300">
        <f>G34+H34+I34+J34</f>
        <v>15</v>
      </c>
      <c r="G34" s="300">
        <v>0</v>
      </c>
      <c r="H34" s="300">
        <v>0</v>
      </c>
      <c r="I34" s="300">
        <v>7.5</v>
      </c>
      <c r="J34" s="300">
        <v>7.5</v>
      </c>
      <c r="K34" s="302"/>
    </row>
    <row r="35" spans="1:11" ht="18.75">
      <c r="A35" s="299" t="s">
        <v>314</v>
      </c>
      <c r="B35" s="295"/>
      <c r="C35" s="300">
        <v>4063.8</v>
      </c>
      <c r="D35" s="300">
        <v>0</v>
      </c>
      <c r="E35" s="300">
        <v>4000</v>
      </c>
      <c r="F35" s="300">
        <v>0</v>
      </c>
      <c r="G35" s="300">
        <v>0</v>
      </c>
      <c r="H35" s="300">
        <v>0</v>
      </c>
      <c r="I35" s="300">
        <v>0</v>
      </c>
      <c r="J35" s="300">
        <v>0</v>
      </c>
      <c r="K35" s="302"/>
    </row>
    <row r="36" spans="1:11" ht="18.75">
      <c r="A36" s="299" t="s">
        <v>315</v>
      </c>
      <c r="B36" s="295"/>
      <c r="C36" s="300">
        <v>433.1</v>
      </c>
      <c r="D36" s="300">
        <v>165</v>
      </c>
      <c r="E36" s="300">
        <v>450</v>
      </c>
      <c r="F36" s="300">
        <f>G36+H36+I36+J36</f>
        <v>290</v>
      </c>
      <c r="G36" s="300">
        <v>82.9</v>
      </c>
      <c r="H36" s="300">
        <v>82.9</v>
      </c>
      <c r="I36" s="300">
        <v>82.8</v>
      </c>
      <c r="J36" s="300">
        <v>41.4</v>
      </c>
      <c r="K36" s="302"/>
    </row>
    <row r="37" spans="1:11" ht="18.75">
      <c r="A37" s="299" t="s">
        <v>316</v>
      </c>
      <c r="B37" s="295"/>
      <c r="C37" s="300">
        <v>574.7</v>
      </c>
      <c r="D37" s="300">
        <v>0</v>
      </c>
      <c r="E37" s="300">
        <v>98</v>
      </c>
      <c r="F37" s="300">
        <f>G37+H37+I37+J37</f>
        <v>70.1</v>
      </c>
      <c r="G37" s="300">
        <v>0</v>
      </c>
      <c r="H37" s="300">
        <v>35.1</v>
      </c>
      <c r="I37" s="300">
        <v>35</v>
      </c>
      <c r="J37" s="300">
        <v>0</v>
      </c>
      <c r="K37" s="302"/>
    </row>
    <row r="38" spans="1:11" ht="37.5">
      <c r="A38" s="299" t="s">
        <v>317</v>
      </c>
      <c r="B38" s="295"/>
      <c r="C38" s="300">
        <v>135.7</v>
      </c>
      <c r="D38" s="300">
        <v>0</v>
      </c>
      <c r="E38" s="300">
        <v>100</v>
      </c>
      <c r="F38" s="300">
        <v>0</v>
      </c>
      <c r="G38" s="300">
        <v>0</v>
      </c>
      <c r="H38" s="300">
        <v>0</v>
      </c>
      <c r="I38" s="300">
        <v>0</v>
      </c>
      <c r="J38" s="300">
        <v>0</v>
      </c>
      <c r="K38" s="302"/>
    </row>
    <row r="39" spans="1:11" ht="18.75">
      <c r="A39" s="299" t="s">
        <v>318</v>
      </c>
      <c r="B39" s="295"/>
      <c r="C39" s="300">
        <v>-51.7</v>
      </c>
      <c r="D39" s="300">
        <v>0</v>
      </c>
      <c r="E39" s="300">
        <v>-50</v>
      </c>
      <c r="F39" s="300">
        <v>0</v>
      </c>
      <c r="G39" s="300">
        <v>0</v>
      </c>
      <c r="H39" s="300">
        <v>0</v>
      </c>
      <c r="I39" s="300">
        <v>0</v>
      </c>
      <c r="J39" s="300">
        <v>0</v>
      </c>
      <c r="K39" s="302"/>
    </row>
    <row r="40" spans="1:11" ht="18.75">
      <c r="A40" s="298" t="s">
        <v>319</v>
      </c>
      <c r="B40" s="303">
        <v>1020</v>
      </c>
      <c r="C40" s="304">
        <f>SUM(C7-C8)</f>
        <v>-70665.2</v>
      </c>
      <c r="D40" s="304">
        <f>D7-D8</f>
        <v>-78799.1</v>
      </c>
      <c r="E40" s="304">
        <f>SUM(E7-E8)</f>
        <v>-80159.70000000001</v>
      </c>
      <c r="F40" s="304">
        <f>F7-F8</f>
        <v>-83129.70000000001</v>
      </c>
      <c r="G40" s="304">
        <f>G7-G8</f>
        <v>-26645.100000000002</v>
      </c>
      <c r="H40" s="304">
        <f>H7-H8</f>
        <v>-19225.100000000002</v>
      </c>
      <c r="I40" s="304">
        <f>I7-I8</f>
        <v>-17595</v>
      </c>
      <c r="J40" s="304">
        <f>J7-J8</f>
        <v>-19664.500000000004</v>
      </c>
      <c r="K40" s="301"/>
    </row>
    <row r="41" spans="1:11" ht="18.75">
      <c r="A41" s="299" t="s">
        <v>50</v>
      </c>
      <c r="B41" s="294">
        <v>1030</v>
      </c>
      <c r="C41" s="300">
        <f>SUM(C42:C61,C63)</f>
        <v>3294.2</v>
      </c>
      <c r="D41" s="300">
        <f>SUM(D42:D61,D63)</f>
        <v>3114.2</v>
      </c>
      <c r="E41" s="300">
        <f>SUM(E42:E61,E63)</f>
        <v>3140.8999999999996</v>
      </c>
      <c r="F41" s="300">
        <f>F49+F50+F51+F62+F63</f>
        <v>3094.2</v>
      </c>
      <c r="G41" s="300">
        <f>G49+G50+G51+G62+G63</f>
        <v>769.6</v>
      </c>
      <c r="H41" s="300">
        <f>H49+H50+H51+H62+H63</f>
        <v>736</v>
      </c>
      <c r="I41" s="300">
        <f>I49+I50+I51+I62+I63</f>
        <v>793.1</v>
      </c>
      <c r="J41" s="300">
        <f>J49+J50+J51+J62+J63</f>
        <v>795.5</v>
      </c>
      <c r="K41" s="302"/>
    </row>
    <row r="42" spans="1:11" ht="37.5">
      <c r="A42" s="299" t="s">
        <v>51</v>
      </c>
      <c r="B42" s="294">
        <v>1031</v>
      </c>
      <c r="C42" s="300">
        <v>0</v>
      </c>
      <c r="D42" s="300">
        <v>0</v>
      </c>
      <c r="E42" s="300">
        <v>0</v>
      </c>
      <c r="F42" s="300">
        <f aca="true" t="shared" si="3" ref="F42:F62">SUM(G42:J42)</f>
        <v>0</v>
      </c>
      <c r="G42" s="300">
        <v>0</v>
      </c>
      <c r="H42" s="300">
        <v>0</v>
      </c>
      <c r="I42" s="300">
        <v>0</v>
      </c>
      <c r="J42" s="300">
        <v>0</v>
      </c>
      <c r="K42" s="302"/>
    </row>
    <row r="43" spans="1:11" ht="18.75">
      <c r="A43" s="299" t="s">
        <v>52</v>
      </c>
      <c r="B43" s="294">
        <v>1032</v>
      </c>
      <c r="C43" s="300">
        <v>15.9</v>
      </c>
      <c r="D43" s="300">
        <v>21.6</v>
      </c>
      <c r="E43" s="300">
        <v>8.2</v>
      </c>
      <c r="F43" s="300">
        <f t="shared" si="3"/>
        <v>0</v>
      </c>
      <c r="G43" s="300">
        <v>0</v>
      </c>
      <c r="H43" s="300">
        <v>0</v>
      </c>
      <c r="I43" s="300">
        <v>0</v>
      </c>
      <c r="J43" s="300">
        <v>0</v>
      </c>
      <c r="K43" s="302"/>
    </row>
    <row r="44" spans="1:11" ht="18.75">
      <c r="A44" s="299" t="s">
        <v>53</v>
      </c>
      <c r="B44" s="294">
        <v>1033</v>
      </c>
      <c r="C44" s="300">
        <v>0</v>
      </c>
      <c r="D44" s="300">
        <v>0</v>
      </c>
      <c r="E44" s="300">
        <v>0</v>
      </c>
      <c r="F44" s="300">
        <f t="shared" si="3"/>
        <v>0</v>
      </c>
      <c r="G44" s="300">
        <v>0</v>
      </c>
      <c r="H44" s="300">
        <v>0</v>
      </c>
      <c r="I44" s="300">
        <v>0</v>
      </c>
      <c r="J44" s="300">
        <v>0</v>
      </c>
      <c r="K44" s="302"/>
    </row>
    <row r="45" spans="1:11" ht="18.75">
      <c r="A45" s="299" t="s">
        <v>54</v>
      </c>
      <c r="B45" s="294">
        <v>1034</v>
      </c>
      <c r="C45" s="300">
        <v>1.6</v>
      </c>
      <c r="D45" s="300">
        <v>3</v>
      </c>
      <c r="E45" s="300">
        <v>3</v>
      </c>
      <c r="F45" s="300">
        <f t="shared" si="3"/>
        <v>0</v>
      </c>
      <c r="G45" s="300">
        <v>0</v>
      </c>
      <c r="H45" s="300">
        <v>0</v>
      </c>
      <c r="I45" s="300">
        <v>0</v>
      </c>
      <c r="J45" s="300">
        <v>0</v>
      </c>
      <c r="K45" s="302"/>
    </row>
    <row r="46" spans="1:11" ht="18.75">
      <c r="A46" s="299" t="s">
        <v>55</v>
      </c>
      <c r="B46" s="294">
        <v>1035</v>
      </c>
      <c r="C46" s="300">
        <v>0</v>
      </c>
      <c r="D46" s="300">
        <v>0</v>
      </c>
      <c r="E46" s="300">
        <v>0</v>
      </c>
      <c r="F46" s="300">
        <f t="shared" si="3"/>
        <v>0</v>
      </c>
      <c r="G46" s="300">
        <v>0</v>
      </c>
      <c r="H46" s="300">
        <v>0</v>
      </c>
      <c r="I46" s="300">
        <v>0</v>
      </c>
      <c r="J46" s="300">
        <v>0</v>
      </c>
      <c r="K46" s="302"/>
    </row>
    <row r="47" spans="1:11" ht="18.75">
      <c r="A47" s="299" t="s">
        <v>320</v>
      </c>
      <c r="B47" s="294">
        <v>1036</v>
      </c>
      <c r="C47" s="300">
        <v>11.4</v>
      </c>
      <c r="D47" s="300">
        <v>14</v>
      </c>
      <c r="E47" s="300">
        <v>6</v>
      </c>
      <c r="F47" s="300">
        <f t="shared" si="3"/>
        <v>0</v>
      </c>
      <c r="G47" s="300">
        <v>0</v>
      </c>
      <c r="H47" s="300">
        <v>0</v>
      </c>
      <c r="I47" s="300">
        <v>0</v>
      </c>
      <c r="J47" s="300">
        <v>0</v>
      </c>
      <c r="K47" s="302"/>
    </row>
    <row r="48" spans="1:11" ht="18.75">
      <c r="A48" s="299" t="s">
        <v>321</v>
      </c>
      <c r="B48" s="294">
        <v>1037</v>
      </c>
      <c r="C48" s="300">
        <v>13.7</v>
      </c>
      <c r="D48" s="300">
        <v>14.4</v>
      </c>
      <c r="E48" s="300">
        <v>15</v>
      </c>
      <c r="F48" s="300">
        <f t="shared" si="3"/>
        <v>0</v>
      </c>
      <c r="G48" s="300">
        <v>0</v>
      </c>
      <c r="H48" s="300">
        <v>0</v>
      </c>
      <c r="I48" s="300">
        <v>0</v>
      </c>
      <c r="J48" s="300">
        <v>0</v>
      </c>
      <c r="K48" s="302"/>
    </row>
    <row r="49" spans="1:11" ht="18.75">
      <c r="A49" s="299" t="s">
        <v>322</v>
      </c>
      <c r="B49" s="294">
        <v>1038</v>
      </c>
      <c r="C49" s="300">
        <v>1864.1</v>
      </c>
      <c r="D49" s="300">
        <v>2129.6</v>
      </c>
      <c r="E49" s="300">
        <v>2129.6</v>
      </c>
      <c r="F49" s="300">
        <f t="shared" si="3"/>
        <v>2349.7999999999997</v>
      </c>
      <c r="G49" s="300">
        <v>584.5</v>
      </c>
      <c r="H49" s="300">
        <v>556.1</v>
      </c>
      <c r="I49" s="300">
        <v>604.6</v>
      </c>
      <c r="J49" s="300">
        <v>604.6</v>
      </c>
      <c r="K49" s="302"/>
    </row>
    <row r="50" spans="1:11" ht="18.75">
      <c r="A50" s="299" t="s">
        <v>323</v>
      </c>
      <c r="B50" s="294">
        <v>1039</v>
      </c>
      <c r="C50" s="300">
        <v>719.5</v>
      </c>
      <c r="D50" s="300">
        <v>468.5</v>
      </c>
      <c r="E50" s="300">
        <v>468.5</v>
      </c>
      <c r="F50" s="300">
        <f t="shared" si="3"/>
        <v>517</v>
      </c>
      <c r="G50" s="300">
        <v>128.6</v>
      </c>
      <c r="H50" s="300">
        <v>122.4</v>
      </c>
      <c r="I50" s="300">
        <v>133</v>
      </c>
      <c r="J50" s="300">
        <v>133</v>
      </c>
      <c r="K50" s="302"/>
    </row>
    <row r="51" spans="1:11" ht="37.5">
      <c r="A51" s="299" t="s">
        <v>324</v>
      </c>
      <c r="B51" s="294">
        <v>1040</v>
      </c>
      <c r="C51" s="300">
        <v>27.1</v>
      </c>
      <c r="D51" s="300">
        <v>20</v>
      </c>
      <c r="E51" s="300">
        <v>34.2</v>
      </c>
      <c r="F51" s="300">
        <f t="shared" si="3"/>
        <v>20</v>
      </c>
      <c r="G51" s="300">
        <v>5</v>
      </c>
      <c r="H51" s="300">
        <v>5</v>
      </c>
      <c r="I51" s="300">
        <v>5</v>
      </c>
      <c r="J51" s="300">
        <v>5</v>
      </c>
      <c r="K51" s="302"/>
    </row>
    <row r="52" spans="1:11" ht="56.25">
      <c r="A52" s="305" t="s">
        <v>325</v>
      </c>
      <c r="B52" s="294">
        <v>1041</v>
      </c>
      <c r="C52" s="300">
        <v>0</v>
      </c>
      <c r="D52" s="300">
        <v>0</v>
      </c>
      <c r="E52" s="300">
        <v>0</v>
      </c>
      <c r="F52" s="300">
        <f t="shared" si="3"/>
        <v>0</v>
      </c>
      <c r="G52" s="300">
        <v>0</v>
      </c>
      <c r="H52" s="300">
        <v>0</v>
      </c>
      <c r="I52" s="300">
        <v>0</v>
      </c>
      <c r="J52" s="300">
        <v>0</v>
      </c>
      <c r="K52" s="302"/>
    </row>
    <row r="53" spans="1:11" ht="37.5">
      <c r="A53" s="299" t="s">
        <v>326</v>
      </c>
      <c r="B53" s="294">
        <v>1042</v>
      </c>
      <c r="C53" s="300">
        <v>0</v>
      </c>
      <c r="D53" s="300">
        <v>0</v>
      </c>
      <c r="E53" s="300">
        <v>0</v>
      </c>
      <c r="F53" s="300">
        <f t="shared" si="3"/>
        <v>0</v>
      </c>
      <c r="G53" s="300">
        <v>0</v>
      </c>
      <c r="H53" s="300">
        <v>0</v>
      </c>
      <c r="I53" s="300">
        <v>0</v>
      </c>
      <c r="J53" s="300">
        <v>0</v>
      </c>
      <c r="K53" s="302"/>
    </row>
    <row r="54" spans="1:11" ht="37.5">
      <c r="A54" s="299" t="s">
        <v>327</v>
      </c>
      <c r="B54" s="294">
        <v>1043</v>
      </c>
      <c r="C54" s="300">
        <v>0</v>
      </c>
      <c r="D54" s="300">
        <v>0</v>
      </c>
      <c r="E54" s="300">
        <v>0</v>
      </c>
      <c r="F54" s="300">
        <f t="shared" si="3"/>
        <v>0</v>
      </c>
      <c r="G54" s="300">
        <v>0</v>
      </c>
      <c r="H54" s="300">
        <v>0</v>
      </c>
      <c r="I54" s="300">
        <v>0</v>
      </c>
      <c r="J54" s="300">
        <v>0</v>
      </c>
      <c r="K54" s="302"/>
    </row>
    <row r="55" spans="1:11" ht="18.75">
      <c r="A55" s="299" t="s">
        <v>328</v>
      </c>
      <c r="B55" s="294">
        <v>1044</v>
      </c>
      <c r="C55" s="300">
        <v>0</v>
      </c>
      <c r="D55" s="300">
        <v>0</v>
      </c>
      <c r="E55" s="300">
        <v>0</v>
      </c>
      <c r="F55" s="300">
        <f t="shared" si="3"/>
        <v>0</v>
      </c>
      <c r="G55" s="300">
        <v>0</v>
      </c>
      <c r="H55" s="300">
        <v>0</v>
      </c>
      <c r="I55" s="300">
        <v>0</v>
      </c>
      <c r="J55" s="300">
        <v>0</v>
      </c>
      <c r="K55" s="302"/>
    </row>
    <row r="56" spans="1:11" ht="18.75">
      <c r="A56" s="299" t="s">
        <v>329</v>
      </c>
      <c r="B56" s="294">
        <v>1045</v>
      </c>
      <c r="C56" s="300">
        <v>8.8</v>
      </c>
      <c r="D56" s="300">
        <v>0</v>
      </c>
      <c r="E56" s="300">
        <v>2.5</v>
      </c>
      <c r="F56" s="300">
        <f t="shared" si="3"/>
        <v>0</v>
      </c>
      <c r="G56" s="300">
        <v>0</v>
      </c>
      <c r="H56" s="300">
        <v>0</v>
      </c>
      <c r="I56" s="300">
        <v>0</v>
      </c>
      <c r="J56" s="300">
        <v>0</v>
      </c>
      <c r="K56" s="302"/>
    </row>
    <row r="57" spans="1:11" ht="18.75">
      <c r="A57" s="299" t="s">
        <v>330</v>
      </c>
      <c r="B57" s="294">
        <v>1046</v>
      </c>
      <c r="C57" s="300">
        <v>0</v>
      </c>
      <c r="D57" s="300">
        <v>0</v>
      </c>
      <c r="E57" s="300">
        <v>0</v>
      </c>
      <c r="F57" s="300">
        <f t="shared" si="3"/>
        <v>0</v>
      </c>
      <c r="G57" s="300">
        <v>0</v>
      </c>
      <c r="H57" s="300">
        <v>0</v>
      </c>
      <c r="I57" s="300">
        <v>0</v>
      </c>
      <c r="J57" s="300">
        <v>0</v>
      </c>
      <c r="K57" s="302"/>
    </row>
    <row r="58" spans="1:11" ht="18.75">
      <c r="A58" s="299" t="s">
        <v>331</v>
      </c>
      <c r="B58" s="294">
        <v>1047</v>
      </c>
      <c r="C58" s="300">
        <v>0</v>
      </c>
      <c r="D58" s="300">
        <v>0</v>
      </c>
      <c r="E58" s="300">
        <v>0</v>
      </c>
      <c r="F58" s="300">
        <f t="shared" si="3"/>
        <v>0</v>
      </c>
      <c r="G58" s="300">
        <v>0</v>
      </c>
      <c r="H58" s="300">
        <v>0</v>
      </c>
      <c r="I58" s="300">
        <v>0</v>
      </c>
      <c r="J58" s="300">
        <v>0</v>
      </c>
      <c r="K58" s="302"/>
    </row>
    <row r="59" spans="1:11" ht="37.5">
      <c r="A59" s="299" t="s">
        <v>332</v>
      </c>
      <c r="B59" s="294">
        <v>1048</v>
      </c>
      <c r="C59" s="300">
        <v>0</v>
      </c>
      <c r="D59" s="300">
        <v>0</v>
      </c>
      <c r="E59" s="300">
        <v>0</v>
      </c>
      <c r="F59" s="300">
        <f t="shared" si="3"/>
        <v>0</v>
      </c>
      <c r="G59" s="300">
        <v>0</v>
      </c>
      <c r="H59" s="300">
        <v>0</v>
      </c>
      <c r="I59" s="300">
        <v>0</v>
      </c>
      <c r="J59" s="300">
        <v>0</v>
      </c>
      <c r="K59" s="302"/>
    </row>
    <row r="60" spans="1:11" ht="37.5">
      <c r="A60" s="299" t="s">
        <v>333</v>
      </c>
      <c r="B60" s="294">
        <v>1049</v>
      </c>
      <c r="C60" s="300">
        <v>2.8</v>
      </c>
      <c r="D60" s="300">
        <v>0</v>
      </c>
      <c r="E60" s="300">
        <v>3</v>
      </c>
      <c r="F60" s="300">
        <f t="shared" si="3"/>
        <v>0</v>
      </c>
      <c r="G60" s="300">
        <v>0</v>
      </c>
      <c r="H60" s="300">
        <v>0</v>
      </c>
      <c r="I60" s="300">
        <v>0</v>
      </c>
      <c r="J60" s="300">
        <v>0</v>
      </c>
      <c r="K60" s="302"/>
    </row>
    <row r="61" spans="1:11" ht="56.25">
      <c r="A61" s="299" t="s">
        <v>334</v>
      </c>
      <c r="B61" s="294">
        <v>1050</v>
      </c>
      <c r="C61" s="300">
        <f>C62</f>
        <v>192.6</v>
      </c>
      <c r="D61" s="300">
        <v>251.5</v>
      </c>
      <c r="E61" s="300">
        <f>E62</f>
        <v>54.4</v>
      </c>
      <c r="F61" s="300">
        <f t="shared" si="3"/>
        <v>0</v>
      </c>
      <c r="G61" s="300">
        <v>0</v>
      </c>
      <c r="H61" s="300">
        <v>0</v>
      </c>
      <c r="I61" s="300">
        <v>0</v>
      </c>
      <c r="J61" s="300">
        <v>0</v>
      </c>
      <c r="K61" s="302"/>
    </row>
    <row r="62" spans="1:11" ht="18.75">
      <c r="A62" s="299" t="s">
        <v>335</v>
      </c>
      <c r="B62" s="294" t="s">
        <v>336</v>
      </c>
      <c r="C62" s="300">
        <v>192.6</v>
      </c>
      <c r="D62" s="300">
        <v>251.5</v>
      </c>
      <c r="E62" s="300">
        <v>54.4</v>
      </c>
      <c r="F62" s="300">
        <f t="shared" si="3"/>
        <v>131.5</v>
      </c>
      <c r="G62" s="300">
        <v>32</v>
      </c>
      <c r="H62" s="300">
        <v>33</v>
      </c>
      <c r="I62" s="300">
        <v>32</v>
      </c>
      <c r="J62" s="300">
        <v>34.5</v>
      </c>
      <c r="K62" s="302"/>
    </row>
    <row r="63" spans="1:11" ht="18.75">
      <c r="A63" s="306" t="s">
        <v>337</v>
      </c>
      <c r="B63" s="294">
        <v>1051</v>
      </c>
      <c r="C63" s="300">
        <f>C64+C65+C66+C67+C68+C69+C70+C71+C72+C73+C74+C75+C76+C77+C78+C79+C80+C81</f>
        <v>436.7</v>
      </c>
      <c r="D63" s="300">
        <f>D64+D65+D66+D67+D68+D74+D75+D76+D77+D78</f>
        <v>191.6</v>
      </c>
      <c r="E63" s="300">
        <f aca="true" t="shared" si="4" ref="E63:J63">E64+E65+E66+E67+E68+E69+E70+E71+E72+E73+E74+E75+E76+E77+E78+E79+E80+E81</f>
        <v>416.5</v>
      </c>
      <c r="F63" s="300">
        <f t="shared" si="4"/>
        <v>75.9</v>
      </c>
      <c r="G63" s="300">
        <f t="shared" si="4"/>
        <v>19.5</v>
      </c>
      <c r="H63" s="300">
        <f t="shared" si="4"/>
        <v>19.5</v>
      </c>
      <c r="I63" s="300">
        <f t="shared" si="4"/>
        <v>18.5</v>
      </c>
      <c r="J63" s="300">
        <f t="shared" si="4"/>
        <v>18.4</v>
      </c>
      <c r="K63" s="302"/>
    </row>
    <row r="64" spans="1:11" ht="18.75">
      <c r="A64" s="299" t="s">
        <v>338</v>
      </c>
      <c r="B64" s="294"/>
      <c r="C64" s="300">
        <v>22</v>
      </c>
      <c r="D64" s="300">
        <v>39.6</v>
      </c>
      <c r="E64" s="300">
        <v>32.8</v>
      </c>
      <c r="F64" s="300">
        <v>40</v>
      </c>
      <c r="G64" s="300">
        <v>10</v>
      </c>
      <c r="H64" s="300">
        <v>10</v>
      </c>
      <c r="I64" s="300">
        <v>10</v>
      </c>
      <c r="J64" s="300">
        <v>10</v>
      </c>
      <c r="K64" s="302"/>
    </row>
    <row r="65" spans="1:11" ht="18.75">
      <c r="A65" s="306" t="s">
        <v>339</v>
      </c>
      <c r="B65" s="307"/>
      <c r="C65" s="300">
        <v>2.1</v>
      </c>
      <c r="D65" s="300">
        <v>5</v>
      </c>
      <c r="E65" s="300">
        <v>3.6</v>
      </c>
      <c r="F65" s="300">
        <v>6</v>
      </c>
      <c r="G65" s="300">
        <v>1.5</v>
      </c>
      <c r="H65" s="300">
        <v>1.5</v>
      </c>
      <c r="I65" s="300">
        <v>1.5</v>
      </c>
      <c r="J65" s="300">
        <v>1.5</v>
      </c>
      <c r="K65" s="302"/>
    </row>
    <row r="66" spans="1:11" ht="18.75">
      <c r="A66" s="306" t="s">
        <v>340</v>
      </c>
      <c r="B66" s="307"/>
      <c r="C66" s="300">
        <v>0.7</v>
      </c>
      <c r="D66" s="300">
        <v>0</v>
      </c>
      <c r="E66" s="300">
        <v>0.7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302"/>
    </row>
    <row r="67" spans="1:11" ht="18.75">
      <c r="A67" s="306" t="s">
        <v>341</v>
      </c>
      <c r="B67" s="307"/>
      <c r="C67" s="300">
        <v>16.7</v>
      </c>
      <c r="D67" s="300">
        <v>15.2</v>
      </c>
      <c r="E67" s="300">
        <v>24</v>
      </c>
      <c r="F67" s="300">
        <f>G67+H67+I67+J67</f>
        <v>4.9</v>
      </c>
      <c r="G67" s="300">
        <v>1</v>
      </c>
      <c r="H67" s="300">
        <v>1</v>
      </c>
      <c r="I67" s="300">
        <v>1</v>
      </c>
      <c r="J67" s="300">
        <v>1.9</v>
      </c>
      <c r="K67" s="302"/>
    </row>
    <row r="68" spans="1:11" ht="18.75">
      <c r="A68" s="306" t="s">
        <v>342</v>
      </c>
      <c r="B68" s="307"/>
      <c r="C68" s="300">
        <v>32.1</v>
      </c>
      <c r="D68" s="300">
        <v>5</v>
      </c>
      <c r="E68" s="300">
        <v>2</v>
      </c>
      <c r="F68" s="300">
        <f>G68+H68+I68+J68</f>
        <v>5</v>
      </c>
      <c r="G68" s="300">
        <v>1</v>
      </c>
      <c r="H68" s="300">
        <v>2</v>
      </c>
      <c r="I68" s="300">
        <v>1</v>
      </c>
      <c r="J68" s="300">
        <v>1</v>
      </c>
      <c r="K68" s="302"/>
    </row>
    <row r="69" spans="1:11" ht="18.75">
      <c r="A69" s="306" t="s">
        <v>343</v>
      </c>
      <c r="B69" s="307"/>
      <c r="C69" s="300">
        <v>1.2</v>
      </c>
      <c r="D69" s="300">
        <v>0</v>
      </c>
      <c r="E69" s="300">
        <v>10.2</v>
      </c>
      <c r="F69" s="300">
        <v>0</v>
      </c>
      <c r="G69" s="300">
        <v>0</v>
      </c>
      <c r="H69" s="300">
        <v>0</v>
      </c>
      <c r="I69" s="300">
        <v>0</v>
      </c>
      <c r="J69" s="300">
        <v>0</v>
      </c>
      <c r="K69" s="302"/>
    </row>
    <row r="70" spans="1:11" ht="18.75">
      <c r="A70" s="306" t="s">
        <v>308</v>
      </c>
      <c r="B70" s="307"/>
      <c r="C70" s="300">
        <v>0.1</v>
      </c>
      <c r="D70" s="300">
        <v>0</v>
      </c>
      <c r="E70" s="300">
        <v>0</v>
      </c>
      <c r="F70" s="300">
        <v>0</v>
      </c>
      <c r="G70" s="300">
        <v>0</v>
      </c>
      <c r="H70" s="300">
        <v>0</v>
      </c>
      <c r="I70" s="300">
        <v>0</v>
      </c>
      <c r="J70" s="300">
        <v>0</v>
      </c>
      <c r="K70" s="302"/>
    </row>
    <row r="71" spans="1:11" ht="18.75">
      <c r="A71" s="306" t="s">
        <v>344</v>
      </c>
      <c r="B71" s="307"/>
      <c r="C71" s="300">
        <v>0.1</v>
      </c>
      <c r="D71" s="300">
        <v>0</v>
      </c>
      <c r="E71" s="300">
        <v>0</v>
      </c>
      <c r="F71" s="300">
        <v>0</v>
      </c>
      <c r="G71" s="300">
        <v>0</v>
      </c>
      <c r="H71" s="300">
        <v>0</v>
      </c>
      <c r="I71" s="300">
        <v>0</v>
      </c>
      <c r="J71" s="300">
        <v>0</v>
      </c>
      <c r="K71" s="302"/>
    </row>
    <row r="72" spans="1:11" ht="18.75">
      <c r="A72" s="306" t="s">
        <v>309</v>
      </c>
      <c r="B72" s="307"/>
      <c r="C72" s="300">
        <v>0.2</v>
      </c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2"/>
    </row>
    <row r="73" spans="1:11" ht="18.75">
      <c r="A73" s="306" t="s">
        <v>345</v>
      </c>
      <c r="B73" s="307"/>
      <c r="C73" s="300">
        <v>1.3</v>
      </c>
      <c r="D73" s="300">
        <v>0</v>
      </c>
      <c r="E73" s="300">
        <v>1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2"/>
    </row>
    <row r="74" spans="1:11" ht="18.75">
      <c r="A74" s="306" t="s">
        <v>346</v>
      </c>
      <c r="B74" s="307"/>
      <c r="C74" s="300">
        <v>32</v>
      </c>
      <c r="D74" s="300">
        <v>6.8</v>
      </c>
      <c r="E74" s="300">
        <v>26.2</v>
      </c>
      <c r="F74" s="300">
        <f>G74+H74+I74+J74</f>
        <v>5</v>
      </c>
      <c r="G74" s="300">
        <v>1</v>
      </c>
      <c r="H74" s="300">
        <v>1</v>
      </c>
      <c r="I74" s="300">
        <v>2</v>
      </c>
      <c r="J74" s="300">
        <v>1</v>
      </c>
      <c r="K74" s="302"/>
    </row>
    <row r="75" spans="1:11" ht="18.75">
      <c r="A75" s="306" t="s">
        <v>347</v>
      </c>
      <c r="B75" s="307"/>
      <c r="C75" s="300">
        <v>21.8</v>
      </c>
      <c r="D75" s="300">
        <v>5</v>
      </c>
      <c r="E75" s="300">
        <v>13.5</v>
      </c>
      <c r="F75" s="300">
        <f>G75+H75+I75+J75</f>
        <v>5</v>
      </c>
      <c r="G75" s="300">
        <v>2</v>
      </c>
      <c r="H75" s="300">
        <v>1</v>
      </c>
      <c r="I75" s="300">
        <v>1</v>
      </c>
      <c r="J75" s="300">
        <v>1</v>
      </c>
      <c r="K75" s="302"/>
    </row>
    <row r="76" spans="1:11" ht="18.75">
      <c r="A76" s="306" t="s">
        <v>348</v>
      </c>
      <c r="B76" s="307"/>
      <c r="C76" s="300">
        <v>7.1</v>
      </c>
      <c r="D76" s="300">
        <v>10</v>
      </c>
      <c r="E76" s="300">
        <v>5.7</v>
      </c>
      <c r="F76" s="300">
        <f>G76+H76+I76+J76</f>
        <v>5</v>
      </c>
      <c r="G76" s="300">
        <v>1</v>
      </c>
      <c r="H76" s="300">
        <v>2</v>
      </c>
      <c r="I76" s="300">
        <v>1</v>
      </c>
      <c r="J76" s="300">
        <v>1</v>
      </c>
      <c r="K76" s="302"/>
    </row>
    <row r="77" spans="1:11" ht="18.75">
      <c r="A77" s="306" t="s">
        <v>349</v>
      </c>
      <c r="B77" s="307"/>
      <c r="C77" s="300">
        <v>175.3</v>
      </c>
      <c r="D77" s="300">
        <v>100</v>
      </c>
      <c r="E77" s="300">
        <v>205.8</v>
      </c>
      <c r="F77" s="300">
        <f>G77+H77+I77+J77</f>
        <v>5</v>
      </c>
      <c r="G77" s="300">
        <v>2</v>
      </c>
      <c r="H77" s="300">
        <v>1</v>
      </c>
      <c r="I77" s="300">
        <v>1</v>
      </c>
      <c r="J77" s="300">
        <v>1</v>
      </c>
      <c r="K77" s="302"/>
    </row>
    <row r="78" spans="1:11" ht="18.75">
      <c r="A78" s="306" t="s">
        <v>350</v>
      </c>
      <c r="B78" s="307"/>
      <c r="C78" s="300">
        <v>3.2</v>
      </c>
      <c r="D78" s="300">
        <v>5</v>
      </c>
      <c r="E78" s="300">
        <v>4.5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2"/>
    </row>
    <row r="79" spans="1:11" ht="18.75">
      <c r="A79" s="306" t="s">
        <v>351</v>
      </c>
      <c r="B79" s="307"/>
      <c r="C79" s="300">
        <v>110.4</v>
      </c>
      <c r="D79" s="300">
        <v>0</v>
      </c>
      <c r="E79" s="300">
        <v>75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2"/>
    </row>
    <row r="80" spans="1:11" ht="18.75">
      <c r="A80" s="306" t="s">
        <v>352</v>
      </c>
      <c r="B80" s="307"/>
      <c r="C80" s="300">
        <v>0.6000000000000001</v>
      </c>
      <c r="D80" s="300">
        <v>0</v>
      </c>
      <c r="E80" s="300">
        <v>5.5</v>
      </c>
      <c r="F80" s="300">
        <v>0</v>
      </c>
      <c r="G80" s="300">
        <v>0</v>
      </c>
      <c r="H80" s="300">
        <v>0</v>
      </c>
      <c r="I80" s="300">
        <v>0</v>
      </c>
      <c r="J80" s="300">
        <v>0</v>
      </c>
      <c r="K80" s="302"/>
    </row>
    <row r="81" spans="1:11" ht="18.75">
      <c r="A81" s="306" t="s">
        <v>318</v>
      </c>
      <c r="B81" s="307"/>
      <c r="C81" s="300">
        <v>9.8</v>
      </c>
      <c r="D81" s="300">
        <v>0</v>
      </c>
      <c r="E81" s="300">
        <v>6</v>
      </c>
      <c r="F81" s="300">
        <v>0</v>
      </c>
      <c r="G81" s="300">
        <v>0</v>
      </c>
      <c r="H81" s="300">
        <v>0</v>
      </c>
      <c r="I81" s="300">
        <v>0</v>
      </c>
      <c r="J81" s="300">
        <v>0</v>
      </c>
      <c r="K81" s="302"/>
    </row>
    <row r="82" spans="1:11" ht="18.75">
      <c r="A82" s="306" t="s">
        <v>353</v>
      </c>
      <c r="B82" s="294">
        <v>1060</v>
      </c>
      <c r="C82" s="300">
        <f>SUM(C83:C89)</f>
        <v>0</v>
      </c>
      <c r="D82" s="300">
        <f>SUM(D83:D89)</f>
        <v>0</v>
      </c>
      <c r="E82" s="300">
        <f>SUM(E83:E89)</f>
        <v>0</v>
      </c>
      <c r="F82" s="300">
        <f>SUM(G82:J82)</f>
        <v>0</v>
      </c>
      <c r="G82" s="300">
        <f>SUM(G83:G89)</f>
        <v>0</v>
      </c>
      <c r="H82" s="300">
        <f>SUM(H83:H89)</f>
        <v>0</v>
      </c>
      <c r="I82" s="300">
        <f>SUM(I83:I89)</f>
        <v>0</v>
      </c>
      <c r="J82" s="300">
        <f>SUM(J83:J89)</f>
        <v>0</v>
      </c>
      <c r="K82" s="302"/>
    </row>
    <row r="83" spans="1:11" ht="18.75">
      <c r="A83" s="306" t="s">
        <v>354</v>
      </c>
      <c r="B83" s="294">
        <v>1061</v>
      </c>
      <c r="C83" s="300">
        <v>0</v>
      </c>
      <c r="D83" s="300">
        <v>0</v>
      </c>
      <c r="E83" s="300">
        <v>0</v>
      </c>
      <c r="F83" s="300">
        <v>0</v>
      </c>
      <c r="G83" s="300">
        <v>0</v>
      </c>
      <c r="H83" s="300">
        <v>0</v>
      </c>
      <c r="I83" s="300">
        <v>0</v>
      </c>
      <c r="J83" s="300">
        <v>0</v>
      </c>
      <c r="K83" s="302"/>
    </row>
    <row r="84" spans="1:11" ht="18.75">
      <c r="A84" s="306" t="s">
        <v>355</v>
      </c>
      <c r="B84" s="294">
        <v>1062</v>
      </c>
      <c r="C84" s="300">
        <v>0</v>
      </c>
      <c r="D84" s="300">
        <v>0</v>
      </c>
      <c r="E84" s="300">
        <v>0</v>
      </c>
      <c r="F84" s="300">
        <v>0</v>
      </c>
      <c r="G84" s="300">
        <v>0</v>
      </c>
      <c r="H84" s="300">
        <v>0</v>
      </c>
      <c r="I84" s="300">
        <v>0</v>
      </c>
      <c r="J84" s="300">
        <v>0</v>
      </c>
      <c r="K84" s="302"/>
    </row>
    <row r="85" spans="1:11" ht="18.75">
      <c r="A85" s="306" t="s">
        <v>322</v>
      </c>
      <c r="B85" s="294">
        <v>1063</v>
      </c>
      <c r="C85" s="300">
        <v>0</v>
      </c>
      <c r="D85" s="300">
        <v>0</v>
      </c>
      <c r="E85" s="300">
        <v>0</v>
      </c>
      <c r="F85" s="300">
        <v>0</v>
      </c>
      <c r="G85" s="300">
        <v>0</v>
      </c>
      <c r="H85" s="300">
        <v>0</v>
      </c>
      <c r="I85" s="300">
        <v>0</v>
      </c>
      <c r="J85" s="300">
        <v>0</v>
      </c>
      <c r="K85" s="302"/>
    </row>
    <row r="86" spans="1:11" ht="18.75">
      <c r="A86" s="306" t="s">
        <v>323</v>
      </c>
      <c r="B86" s="294">
        <v>1064</v>
      </c>
      <c r="C86" s="300">
        <v>0</v>
      </c>
      <c r="D86" s="300">
        <v>0</v>
      </c>
      <c r="E86" s="300">
        <v>0</v>
      </c>
      <c r="F86" s="300">
        <v>0</v>
      </c>
      <c r="G86" s="300">
        <v>0</v>
      </c>
      <c r="H86" s="300">
        <v>0</v>
      </c>
      <c r="I86" s="300">
        <v>0</v>
      </c>
      <c r="J86" s="300">
        <v>0</v>
      </c>
      <c r="K86" s="302"/>
    </row>
    <row r="87" spans="1:11" ht="37.5">
      <c r="A87" s="306" t="s">
        <v>356</v>
      </c>
      <c r="B87" s="294">
        <v>1065</v>
      </c>
      <c r="C87" s="300">
        <v>0</v>
      </c>
      <c r="D87" s="300">
        <v>0</v>
      </c>
      <c r="E87" s="300">
        <v>0</v>
      </c>
      <c r="F87" s="300">
        <v>0</v>
      </c>
      <c r="G87" s="300">
        <v>0</v>
      </c>
      <c r="H87" s="300">
        <v>0</v>
      </c>
      <c r="I87" s="300">
        <v>0</v>
      </c>
      <c r="J87" s="300">
        <v>0</v>
      </c>
      <c r="K87" s="302"/>
    </row>
    <row r="88" spans="1:11" ht="18.75">
      <c r="A88" s="306" t="s">
        <v>357</v>
      </c>
      <c r="B88" s="294">
        <v>1066</v>
      </c>
      <c r="C88" s="300">
        <v>0</v>
      </c>
      <c r="D88" s="300">
        <v>0</v>
      </c>
      <c r="E88" s="300">
        <v>0</v>
      </c>
      <c r="F88" s="300">
        <v>0</v>
      </c>
      <c r="G88" s="300">
        <v>0</v>
      </c>
      <c r="H88" s="300">
        <v>0</v>
      </c>
      <c r="I88" s="300">
        <v>0</v>
      </c>
      <c r="J88" s="300">
        <v>0</v>
      </c>
      <c r="K88" s="302"/>
    </row>
    <row r="89" spans="1:11" ht="18.75">
      <c r="A89" s="306" t="s">
        <v>358</v>
      </c>
      <c r="B89" s="294">
        <v>1067</v>
      </c>
      <c r="C89" s="300">
        <v>0</v>
      </c>
      <c r="D89" s="300">
        <v>0</v>
      </c>
      <c r="E89" s="300">
        <v>0</v>
      </c>
      <c r="F89" s="300">
        <v>0</v>
      </c>
      <c r="G89" s="300">
        <v>0</v>
      </c>
      <c r="H89" s="300">
        <v>0</v>
      </c>
      <c r="I89" s="300">
        <v>0</v>
      </c>
      <c r="J89" s="300">
        <v>0</v>
      </c>
      <c r="K89" s="302"/>
    </row>
    <row r="90" spans="1:11" ht="18.75">
      <c r="A90" s="299" t="s">
        <v>359</v>
      </c>
      <c r="B90" s="294">
        <v>1070</v>
      </c>
      <c r="C90" s="300">
        <f>SUM(C93:C95)</f>
        <v>72657.7</v>
      </c>
      <c r="D90" s="300">
        <f>SUM(D93:D95)</f>
        <v>81713.29999999999</v>
      </c>
      <c r="E90" s="300">
        <f>SUM(E93:E95)</f>
        <v>75468.5</v>
      </c>
      <c r="F90" s="300">
        <f>F93+F94+F95</f>
        <v>85023.9</v>
      </c>
      <c r="G90" s="300">
        <f>G93+G94+G95</f>
        <v>27102.699999999997</v>
      </c>
      <c r="H90" s="300">
        <f>H93+H94+H95</f>
        <v>19871.4</v>
      </c>
      <c r="I90" s="300">
        <f>I93+I94+I95</f>
        <v>18078.1</v>
      </c>
      <c r="J90" s="300">
        <f>J93+J94+J95</f>
        <v>19971.7</v>
      </c>
      <c r="K90" s="302"/>
    </row>
    <row r="91" spans="1:11" ht="18.75">
      <c r="A91" s="299" t="s">
        <v>58</v>
      </c>
      <c r="B91" s="294">
        <v>1071</v>
      </c>
      <c r="C91" s="300">
        <v>0</v>
      </c>
      <c r="D91" s="300">
        <v>0</v>
      </c>
      <c r="E91" s="300">
        <v>0</v>
      </c>
      <c r="F91" s="300">
        <v>0</v>
      </c>
      <c r="G91" s="300">
        <v>0</v>
      </c>
      <c r="H91" s="300">
        <v>0</v>
      </c>
      <c r="I91" s="300">
        <v>0</v>
      </c>
      <c r="J91" s="300">
        <v>0</v>
      </c>
      <c r="K91" s="302"/>
    </row>
    <row r="92" spans="1:11" ht="18.75">
      <c r="A92" s="299" t="s">
        <v>59</v>
      </c>
      <c r="B92" s="294">
        <v>1072</v>
      </c>
      <c r="C92" s="300">
        <v>0</v>
      </c>
      <c r="D92" s="300">
        <v>0</v>
      </c>
      <c r="E92" s="300">
        <v>0</v>
      </c>
      <c r="F92" s="300">
        <v>0</v>
      </c>
      <c r="G92" s="300">
        <v>0</v>
      </c>
      <c r="H92" s="300">
        <v>0</v>
      </c>
      <c r="I92" s="300">
        <v>0</v>
      </c>
      <c r="J92" s="300">
        <v>0</v>
      </c>
      <c r="K92" s="302"/>
    </row>
    <row r="93" spans="1:11" ht="18.75">
      <c r="A93" s="299" t="s">
        <v>360</v>
      </c>
      <c r="B93" s="294"/>
      <c r="C93" s="300">
        <v>54715.3</v>
      </c>
      <c r="D93" s="300">
        <v>80038.4</v>
      </c>
      <c r="E93" s="300">
        <v>73308.3</v>
      </c>
      <c r="F93" s="300">
        <f>G93+H93+I93+J93</f>
        <v>83259.7</v>
      </c>
      <c r="G93" s="300">
        <v>26660.1</v>
      </c>
      <c r="H93" s="300">
        <v>19429</v>
      </c>
      <c r="I93" s="300">
        <v>17634.3</v>
      </c>
      <c r="J93" s="300">
        <v>19536.3</v>
      </c>
      <c r="K93" s="302"/>
    </row>
    <row r="94" spans="1:11" ht="37.5">
      <c r="A94" s="299" t="s">
        <v>361</v>
      </c>
      <c r="B94" s="294"/>
      <c r="C94" s="300">
        <v>16364</v>
      </c>
      <c r="D94" s="300">
        <v>339.9</v>
      </c>
      <c r="E94" s="300">
        <v>339.9</v>
      </c>
      <c r="F94" s="300">
        <f>G94+H94+I94+J94</f>
        <v>264.20000000000005</v>
      </c>
      <c r="G94" s="300">
        <v>66.6</v>
      </c>
      <c r="H94" s="300">
        <v>66.4</v>
      </c>
      <c r="I94" s="300">
        <v>65.8</v>
      </c>
      <c r="J94" s="300">
        <v>65.4</v>
      </c>
      <c r="K94" s="302"/>
    </row>
    <row r="95" spans="1:11" ht="18.75">
      <c r="A95" s="306" t="s">
        <v>362</v>
      </c>
      <c r="B95" s="307">
        <v>1073</v>
      </c>
      <c r="C95" s="300">
        <f aca="true" t="shared" si="5" ref="C95:J95">C96+C97+C98+C99+C100+C101+C102+C103+C104+C105+C106+C107+C108+C109+C110+C111+C112</f>
        <v>1578.3999999999999</v>
      </c>
      <c r="D95" s="300">
        <f t="shared" si="5"/>
        <v>1335</v>
      </c>
      <c r="E95" s="300">
        <f t="shared" si="5"/>
        <v>1820.3000000000002</v>
      </c>
      <c r="F95" s="300">
        <f t="shared" si="5"/>
        <v>1500</v>
      </c>
      <c r="G95" s="300">
        <f t="shared" si="5"/>
        <v>376</v>
      </c>
      <c r="H95" s="300">
        <f t="shared" si="5"/>
        <v>376</v>
      </c>
      <c r="I95" s="300">
        <f t="shared" si="5"/>
        <v>378.00000000000006</v>
      </c>
      <c r="J95" s="300">
        <f t="shared" si="5"/>
        <v>370.00000000000006</v>
      </c>
      <c r="K95" s="302"/>
    </row>
    <row r="96" spans="1:11" ht="37.5">
      <c r="A96" s="306" t="s">
        <v>363</v>
      </c>
      <c r="B96" s="307"/>
      <c r="C96" s="300">
        <v>79.1</v>
      </c>
      <c r="D96" s="300">
        <v>230</v>
      </c>
      <c r="E96" s="300">
        <v>813.4</v>
      </c>
      <c r="F96" s="300">
        <v>300</v>
      </c>
      <c r="G96" s="300">
        <v>75</v>
      </c>
      <c r="H96" s="300">
        <v>75</v>
      </c>
      <c r="I96" s="300">
        <v>75</v>
      </c>
      <c r="J96" s="300">
        <v>75</v>
      </c>
      <c r="K96" s="302"/>
    </row>
    <row r="97" spans="1:11" ht="18.75">
      <c r="A97" s="306" t="s">
        <v>364</v>
      </c>
      <c r="B97" s="307"/>
      <c r="C97" s="300">
        <v>496.6</v>
      </c>
      <c r="D97" s="300">
        <v>590</v>
      </c>
      <c r="E97" s="300">
        <v>540</v>
      </c>
      <c r="F97" s="300">
        <v>590</v>
      </c>
      <c r="G97" s="300">
        <v>147</v>
      </c>
      <c r="H97" s="300">
        <v>148</v>
      </c>
      <c r="I97" s="300">
        <v>148</v>
      </c>
      <c r="J97" s="300">
        <v>147</v>
      </c>
      <c r="K97" s="302"/>
    </row>
    <row r="98" spans="1:11" ht="18.75">
      <c r="A98" s="306" t="s">
        <v>365</v>
      </c>
      <c r="B98" s="307"/>
      <c r="C98" s="300">
        <v>31.6</v>
      </c>
      <c r="D98" s="300">
        <v>91</v>
      </c>
      <c r="E98" s="300">
        <v>15</v>
      </c>
      <c r="F98" s="300">
        <f aca="true" t="shared" si="6" ref="F98:F108">G98+H98+I98+J98</f>
        <v>91</v>
      </c>
      <c r="G98" s="300">
        <v>22</v>
      </c>
      <c r="H98" s="300">
        <v>23</v>
      </c>
      <c r="I98" s="300">
        <v>23</v>
      </c>
      <c r="J98" s="300">
        <v>23</v>
      </c>
      <c r="K98" s="302"/>
    </row>
    <row r="99" spans="1:11" ht="18.75">
      <c r="A99" s="306" t="s">
        <v>366</v>
      </c>
      <c r="B99" s="307"/>
      <c r="C99" s="300">
        <v>47.6</v>
      </c>
      <c r="D99" s="300">
        <v>57.2</v>
      </c>
      <c r="E99" s="300">
        <v>100.8</v>
      </c>
      <c r="F99" s="300">
        <f t="shared" si="6"/>
        <v>57.2</v>
      </c>
      <c r="G99" s="300">
        <v>14.3</v>
      </c>
      <c r="H99" s="300">
        <v>14.3</v>
      </c>
      <c r="I99" s="300">
        <v>14.3</v>
      </c>
      <c r="J99" s="300">
        <v>14.3</v>
      </c>
      <c r="K99" s="302"/>
    </row>
    <row r="100" spans="1:11" ht="18.75">
      <c r="A100" s="306" t="s">
        <v>367</v>
      </c>
      <c r="B100" s="307"/>
      <c r="C100" s="300">
        <v>204.5</v>
      </c>
      <c r="D100" s="300">
        <v>220</v>
      </c>
      <c r="E100" s="300">
        <v>250</v>
      </c>
      <c r="F100" s="300">
        <f t="shared" si="6"/>
        <v>315</v>
      </c>
      <c r="G100" s="300">
        <v>75</v>
      </c>
      <c r="H100" s="300">
        <v>80</v>
      </c>
      <c r="I100" s="300">
        <v>85</v>
      </c>
      <c r="J100" s="300">
        <v>75</v>
      </c>
      <c r="K100" s="302"/>
    </row>
    <row r="101" spans="1:11" ht="18.75">
      <c r="A101" s="306" t="s">
        <v>368</v>
      </c>
      <c r="B101" s="307"/>
      <c r="C101" s="300">
        <v>64.7</v>
      </c>
      <c r="D101" s="300">
        <v>77.6</v>
      </c>
      <c r="E101" s="300">
        <v>32</v>
      </c>
      <c r="F101" s="300">
        <f t="shared" si="6"/>
        <v>77.60000000000001</v>
      </c>
      <c r="G101" s="300">
        <v>22</v>
      </c>
      <c r="H101" s="300">
        <v>19.2</v>
      </c>
      <c r="I101" s="300">
        <v>16.6</v>
      </c>
      <c r="J101" s="300">
        <v>19.8</v>
      </c>
      <c r="K101" s="302"/>
    </row>
    <row r="102" spans="1:11" ht="18.75">
      <c r="A102" s="306" t="s">
        <v>369</v>
      </c>
      <c r="B102" s="307"/>
      <c r="C102" s="300">
        <v>8.5</v>
      </c>
      <c r="D102" s="300">
        <v>10</v>
      </c>
      <c r="E102" s="300">
        <v>8.4</v>
      </c>
      <c r="F102" s="300">
        <f t="shared" si="6"/>
        <v>10</v>
      </c>
      <c r="G102" s="300">
        <v>2.5</v>
      </c>
      <c r="H102" s="300">
        <v>2.5</v>
      </c>
      <c r="I102" s="300">
        <v>2.5</v>
      </c>
      <c r="J102" s="300">
        <v>2.5</v>
      </c>
      <c r="K102" s="302"/>
    </row>
    <row r="103" spans="1:11" ht="18.75">
      <c r="A103" s="306" t="s">
        <v>370</v>
      </c>
      <c r="B103" s="307"/>
      <c r="C103" s="300">
        <v>8.7</v>
      </c>
      <c r="D103" s="300">
        <v>10.4</v>
      </c>
      <c r="E103" s="300">
        <v>10</v>
      </c>
      <c r="F103" s="300">
        <f t="shared" si="6"/>
        <v>10.4</v>
      </c>
      <c r="G103" s="300">
        <v>2.6</v>
      </c>
      <c r="H103" s="300">
        <v>2.6</v>
      </c>
      <c r="I103" s="300">
        <v>2.6</v>
      </c>
      <c r="J103" s="300">
        <v>2.6</v>
      </c>
      <c r="K103" s="302"/>
    </row>
    <row r="104" spans="1:11" ht="18.75">
      <c r="A104" s="306" t="s">
        <v>371</v>
      </c>
      <c r="B104" s="307"/>
      <c r="C104" s="300">
        <v>2.5</v>
      </c>
      <c r="D104" s="300">
        <v>3</v>
      </c>
      <c r="E104" s="300">
        <v>7.5</v>
      </c>
      <c r="F104" s="300">
        <f t="shared" si="6"/>
        <v>0</v>
      </c>
      <c r="G104" s="300">
        <v>0</v>
      </c>
      <c r="H104" s="300">
        <v>0</v>
      </c>
      <c r="I104" s="300">
        <v>0</v>
      </c>
      <c r="J104" s="300">
        <v>0</v>
      </c>
      <c r="K104" s="302"/>
    </row>
    <row r="105" spans="1:11" ht="18.75">
      <c r="A105" s="306" t="s">
        <v>372</v>
      </c>
      <c r="B105" s="307"/>
      <c r="C105" s="300">
        <v>0.5</v>
      </c>
      <c r="D105" s="300">
        <v>0.4</v>
      </c>
      <c r="E105" s="300">
        <v>0.4</v>
      </c>
      <c r="F105" s="300">
        <f t="shared" si="6"/>
        <v>0.4</v>
      </c>
      <c r="G105" s="300">
        <v>0.1</v>
      </c>
      <c r="H105" s="300">
        <v>0.1</v>
      </c>
      <c r="I105" s="300">
        <v>0.1</v>
      </c>
      <c r="J105" s="300">
        <v>0.1</v>
      </c>
      <c r="K105" s="302"/>
    </row>
    <row r="106" spans="1:11" ht="18.75">
      <c r="A106" s="306" t="s">
        <v>373</v>
      </c>
      <c r="B106" s="307"/>
      <c r="C106" s="300">
        <v>5.5</v>
      </c>
      <c r="D106" s="300">
        <v>0</v>
      </c>
      <c r="E106" s="300">
        <v>0.6000000000000001</v>
      </c>
      <c r="F106" s="300">
        <f t="shared" si="6"/>
        <v>0</v>
      </c>
      <c r="G106" s="300">
        <v>0</v>
      </c>
      <c r="H106" s="300">
        <v>0</v>
      </c>
      <c r="I106" s="300">
        <v>0</v>
      </c>
      <c r="J106" s="300">
        <v>0</v>
      </c>
      <c r="K106" s="302"/>
    </row>
    <row r="107" spans="1:11" ht="37.5">
      <c r="A107" s="306" t="s">
        <v>374</v>
      </c>
      <c r="B107" s="307"/>
      <c r="C107" s="300">
        <v>22.4</v>
      </c>
      <c r="D107" s="300">
        <v>26.8</v>
      </c>
      <c r="E107" s="300">
        <v>27.2</v>
      </c>
      <c r="F107" s="300">
        <f t="shared" si="6"/>
        <v>26.8</v>
      </c>
      <c r="G107" s="300">
        <v>6.7</v>
      </c>
      <c r="H107" s="300">
        <v>6.7</v>
      </c>
      <c r="I107" s="300">
        <v>6.7</v>
      </c>
      <c r="J107" s="300">
        <v>6.7</v>
      </c>
      <c r="K107" s="302"/>
    </row>
    <row r="108" spans="1:11" ht="18.75">
      <c r="A108" s="306" t="s">
        <v>375</v>
      </c>
      <c r="B108" s="307"/>
      <c r="C108" s="300">
        <v>1.9</v>
      </c>
      <c r="D108" s="300">
        <v>2</v>
      </c>
      <c r="E108" s="300">
        <v>2.6</v>
      </c>
      <c r="F108" s="300">
        <f t="shared" si="6"/>
        <v>8</v>
      </c>
      <c r="G108" s="300">
        <v>5.4</v>
      </c>
      <c r="H108" s="300">
        <v>1.2</v>
      </c>
      <c r="I108" s="300">
        <v>0.8</v>
      </c>
      <c r="J108" s="300">
        <v>0.6000000000000001</v>
      </c>
      <c r="K108" s="302"/>
    </row>
    <row r="109" spans="1:11" ht="37.5">
      <c r="A109" s="306" t="s">
        <v>376</v>
      </c>
      <c r="B109" s="307"/>
      <c r="C109" s="300">
        <v>2.3</v>
      </c>
      <c r="D109" s="300">
        <v>3</v>
      </c>
      <c r="E109" s="300">
        <v>0</v>
      </c>
      <c r="F109" s="300">
        <v>0</v>
      </c>
      <c r="G109" s="300">
        <v>0</v>
      </c>
      <c r="H109" s="300">
        <v>0</v>
      </c>
      <c r="I109" s="300">
        <v>0</v>
      </c>
      <c r="J109" s="300">
        <v>0</v>
      </c>
      <c r="K109" s="302"/>
    </row>
    <row r="110" spans="1:11" ht="18.75">
      <c r="A110" s="306" t="s">
        <v>377</v>
      </c>
      <c r="B110" s="307"/>
      <c r="C110" s="300">
        <v>11.3</v>
      </c>
      <c r="D110" s="300">
        <v>13.6</v>
      </c>
      <c r="E110" s="300">
        <v>10.2</v>
      </c>
      <c r="F110" s="300">
        <f>G110+H110+I110+J110</f>
        <v>13.6</v>
      </c>
      <c r="G110" s="300">
        <v>3.4</v>
      </c>
      <c r="H110" s="300">
        <v>3.4</v>
      </c>
      <c r="I110" s="300">
        <v>3.4</v>
      </c>
      <c r="J110" s="300">
        <v>3.4</v>
      </c>
      <c r="K110" s="302"/>
    </row>
    <row r="111" spans="1:11" ht="37.5">
      <c r="A111" s="308" t="s">
        <v>378</v>
      </c>
      <c r="B111" s="307"/>
      <c r="C111" s="300">
        <v>584.4</v>
      </c>
      <c r="D111" s="300">
        <v>0</v>
      </c>
      <c r="E111" s="300">
        <v>0</v>
      </c>
      <c r="F111" s="300">
        <v>0</v>
      </c>
      <c r="G111" s="300">
        <v>0</v>
      </c>
      <c r="H111" s="300">
        <v>0</v>
      </c>
      <c r="I111" s="300">
        <v>0</v>
      </c>
      <c r="J111" s="300">
        <v>0</v>
      </c>
      <c r="K111" s="302"/>
    </row>
    <row r="112" spans="1:11" ht="18.75">
      <c r="A112" s="306" t="s">
        <v>379</v>
      </c>
      <c r="B112" s="307"/>
      <c r="C112" s="300">
        <v>6.3</v>
      </c>
      <c r="D112" s="300">
        <v>0</v>
      </c>
      <c r="E112" s="300">
        <v>2.2</v>
      </c>
      <c r="F112" s="300">
        <f>G112+H112+I112+J112</f>
        <v>0</v>
      </c>
      <c r="G112" s="300">
        <v>0</v>
      </c>
      <c r="H112" s="300">
        <v>0</v>
      </c>
      <c r="I112" s="300">
        <v>0</v>
      </c>
      <c r="J112" s="300">
        <v>0</v>
      </c>
      <c r="K112" s="302"/>
    </row>
    <row r="113" spans="1:11" ht="18.75">
      <c r="A113" s="309" t="s">
        <v>380</v>
      </c>
      <c r="B113" s="294">
        <v>1080</v>
      </c>
      <c r="C113" s="300">
        <f>SUM(C114:C119)</f>
        <v>2003.5</v>
      </c>
      <c r="D113" s="300">
        <f>D119</f>
        <v>700</v>
      </c>
      <c r="E113" s="300">
        <f>E119</f>
        <v>1381.2</v>
      </c>
      <c r="F113" s="300">
        <f>F120+F124+F125+F126+F129+F132+F134+F139</f>
        <v>800</v>
      </c>
      <c r="G113" s="300">
        <f>G120+G124+G125+G126+G129+G132+G134+G139</f>
        <v>188</v>
      </c>
      <c r="H113" s="300">
        <f>H120+H124+H125+H126+H129+H132+H134+H139</f>
        <v>410.3</v>
      </c>
      <c r="I113" s="300">
        <f>I120+I124+I125+I126+I129+I132+I134+I139</f>
        <v>190</v>
      </c>
      <c r="J113" s="300">
        <f>J120+J124+J125+J126+J129+J132+J134+J139</f>
        <v>11.7</v>
      </c>
      <c r="K113" s="302"/>
    </row>
    <row r="114" spans="1:11" ht="18.75">
      <c r="A114" s="299" t="s">
        <v>58</v>
      </c>
      <c r="B114" s="294">
        <v>1081</v>
      </c>
      <c r="C114" s="300">
        <v>0</v>
      </c>
      <c r="D114" s="300">
        <v>0</v>
      </c>
      <c r="E114" s="300">
        <v>0</v>
      </c>
      <c r="F114" s="300">
        <f aca="true" t="shared" si="7" ref="F114:F119">SUM(G114:J114)</f>
        <v>0</v>
      </c>
      <c r="G114" s="300">
        <v>0</v>
      </c>
      <c r="H114" s="300">
        <v>0</v>
      </c>
      <c r="I114" s="300">
        <v>0</v>
      </c>
      <c r="J114" s="300">
        <v>0</v>
      </c>
      <c r="K114" s="302"/>
    </row>
    <row r="115" spans="1:11" ht="18.75">
      <c r="A115" s="299" t="s">
        <v>381</v>
      </c>
      <c r="B115" s="294">
        <v>1082</v>
      </c>
      <c r="C115" s="300">
        <v>0</v>
      </c>
      <c r="D115" s="300">
        <v>0</v>
      </c>
      <c r="E115" s="300">
        <v>0</v>
      </c>
      <c r="F115" s="300">
        <f t="shared" si="7"/>
        <v>0</v>
      </c>
      <c r="G115" s="300">
        <v>0</v>
      </c>
      <c r="H115" s="300">
        <v>0</v>
      </c>
      <c r="I115" s="300">
        <v>0</v>
      </c>
      <c r="J115" s="300">
        <v>0</v>
      </c>
      <c r="K115" s="302"/>
    </row>
    <row r="116" spans="1:11" ht="18.75">
      <c r="A116" s="299" t="s">
        <v>382</v>
      </c>
      <c r="B116" s="294">
        <v>1083</v>
      </c>
      <c r="C116" s="300">
        <v>0</v>
      </c>
      <c r="D116" s="300">
        <v>0</v>
      </c>
      <c r="E116" s="300">
        <v>0</v>
      </c>
      <c r="F116" s="300">
        <f t="shared" si="7"/>
        <v>0</v>
      </c>
      <c r="G116" s="300">
        <v>0</v>
      </c>
      <c r="H116" s="300">
        <v>0</v>
      </c>
      <c r="I116" s="300">
        <v>0</v>
      </c>
      <c r="J116" s="300">
        <v>0</v>
      </c>
      <c r="K116" s="302"/>
    </row>
    <row r="117" spans="1:11" ht="18.75">
      <c r="A117" s="299" t="s">
        <v>383</v>
      </c>
      <c r="B117" s="294">
        <v>1084</v>
      </c>
      <c r="C117" s="300">
        <v>0</v>
      </c>
      <c r="D117" s="300">
        <v>0</v>
      </c>
      <c r="E117" s="300">
        <v>0</v>
      </c>
      <c r="F117" s="300">
        <f t="shared" si="7"/>
        <v>0</v>
      </c>
      <c r="G117" s="300">
        <v>0</v>
      </c>
      <c r="H117" s="300">
        <v>0</v>
      </c>
      <c r="I117" s="300">
        <v>0</v>
      </c>
      <c r="J117" s="300">
        <v>0</v>
      </c>
      <c r="K117" s="302"/>
    </row>
    <row r="118" spans="1:11" ht="18.75">
      <c r="A118" s="299" t="s">
        <v>384</v>
      </c>
      <c r="B118" s="294">
        <v>1085</v>
      </c>
      <c r="C118" s="300">
        <v>0</v>
      </c>
      <c r="D118" s="300">
        <v>0</v>
      </c>
      <c r="E118" s="300">
        <v>0</v>
      </c>
      <c r="F118" s="300">
        <f t="shared" si="7"/>
        <v>0</v>
      </c>
      <c r="G118" s="300">
        <v>0</v>
      </c>
      <c r="H118" s="300">
        <v>0</v>
      </c>
      <c r="I118" s="300">
        <v>0</v>
      </c>
      <c r="J118" s="300">
        <v>0</v>
      </c>
      <c r="K118" s="302"/>
    </row>
    <row r="119" spans="1:11" ht="18.75">
      <c r="A119" s="306" t="s">
        <v>385</v>
      </c>
      <c r="B119" s="307">
        <v>1086</v>
      </c>
      <c r="C119" s="300">
        <v>2003.5</v>
      </c>
      <c r="D119" s="300">
        <f>D120+D121+D124+D125+D126+D129+D132+D134+D139</f>
        <v>700</v>
      </c>
      <c r="E119" s="300">
        <f>E120+E121+E122+E123+E124+E125+E126+E127+E128+E129+E130+E131+E132+E133+E134+E135+E136+E137+E138+E139+E140</f>
        <v>1381.2</v>
      </c>
      <c r="F119" s="300">
        <f t="shared" si="7"/>
        <v>800</v>
      </c>
      <c r="G119" s="300">
        <f>G120+G121+G122+G123+G124+G125+G126+G127+G128+G129+G130+G131+G132+G133+G134+G135+G136+G137+G138+G139+G140</f>
        <v>188</v>
      </c>
      <c r="H119" s="300">
        <f>H120+H121+H122+H123+H124+H125+H126+H127+H128+H129+H130+H131+H132+H133+H134+H135+H136+H137+H138+H139+H140</f>
        <v>410.3</v>
      </c>
      <c r="I119" s="300">
        <f>I120+I121+I122+I123+I124+I125+I126+I127+I128+I129+I130+I131+I132+I133+I134+I135+I136+I137+I138+I139+I140</f>
        <v>190</v>
      </c>
      <c r="J119" s="300">
        <f>J120+J121+J122+J123+J124+J125+J126+J127+J128+J129+J130+J131+J132+J133+J134+J135+J136+J137+J138+J139+J140</f>
        <v>11.7</v>
      </c>
      <c r="K119" s="302"/>
    </row>
    <row r="120" spans="1:11" ht="18.75">
      <c r="A120" s="306" t="s">
        <v>386</v>
      </c>
      <c r="B120" s="307"/>
      <c r="C120" s="300">
        <v>48.7</v>
      </c>
      <c r="D120" s="300">
        <v>50</v>
      </c>
      <c r="E120" s="300">
        <v>0</v>
      </c>
      <c r="F120" s="300">
        <f>G120+H120+I120+J120</f>
        <v>0</v>
      </c>
      <c r="G120" s="300">
        <v>0</v>
      </c>
      <c r="H120" s="300">
        <v>0</v>
      </c>
      <c r="I120" s="300">
        <v>0</v>
      </c>
      <c r="J120" s="300">
        <v>0</v>
      </c>
      <c r="K120" s="302"/>
    </row>
    <row r="121" spans="1:11" ht="18.75">
      <c r="A121" s="306" t="s">
        <v>387</v>
      </c>
      <c r="B121" s="307"/>
      <c r="C121" s="300">
        <v>14.3</v>
      </c>
      <c r="D121" s="300">
        <v>15</v>
      </c>
      <c r="E121" s="300">
        <v>0</v>
      </c>
      <c r="F121" s="300">
        <v>0</v>
      </c>
      <c r="G121" s="300">
        <v>0</v>
      </c>
      <c r="H121" s="300">
        <v>0</v>
      </c>
      <c r="I121" s="300">
        <v>0</v>
      </c>
      <c r="J121" s="300">
        <v>0</v>
      </c>
      <c r="K121" s="302"/>
    </row>
    <row r="122" spans="1:11" ht="18.75">
      <c r="A122" s="306" t="s">
        <v>388</v>
      </c>
      <c r="B122" s="307"/>
      <c r="C122" s="300">
        <v>0</v>
      </c>
      <c r="D122" s="300">
        <v>0</v>
      </c>
      <c r="E122" s="300">
        <v>0</v>
      </c>
      <c r="F122" s="300">
        <v>0</v>
      </c>
      <c r="G122" s="300">
        <v>0</v>
      </c>
      <c r="H122" s="300">
        <v>0</v>
      </c>
      <c r="I122" s="300">
        <v>0</v>
      </c>
      <c r="J122" s="300">
        <v>0</v>
      </c>
      <c r="K122" s="302"/>
    </row>
    <row r="123" spans="1:11" ht="18.75">
      <c r="A123" s="299" t="s">
        <v>389</v>
      </c>
      <c r="B123" s="307"/>
      <c r="C123" s="300">
        <v>0</v>
      </c>
      <c r="D123" s="300">
        <v>0</v>
      </c>
      <c r="E123" s="300">
        <v>0</v>
      </c>
      <c r="F123" s="300">
        <v>0</v>
      </c>
      <c r="G123" s="300">
        <v>0</v>
      </c>
      <c r="H123" s="300">
        <v>0</v>
      </c>
      <c r="I123" s="300">
        <v>0</v>
      </c>
      <c r="J123" s="300">
        <v>0</v>
      </c>
      <c r="K123" s="302"/>
    </row>
    <row r="124" spans="1:11" ht="18.75">
      <c r="A124" s="306" t="s">
        <v>390</v>
      </c>
      <c r="B124" s="307"/>
      <c r="C124" s="300">
        <v>501.9</v>
      </c>
      <c r="D124" s="300">
        <v>105</v>
      </c>
      <c r="E124" s="300">
        <v>240.2</v>
      </c>
      <c r="F124" s="300">
        <f aca="true" t="shared" si="8" ref="F124:F140">G124+H124+I124+J124</f>
        <v>170</v>
      </c>
      <c r="G124" s="300">
        <v>42</v>
      </c>
      <c r="H124" s="300">
        <v>84</v>
      </c>
      <c r="I124" s="300">
        <v>44</v>
      </c>
      <c r="J124" s="300">
        <v>0</v>
      </c>
      <c r="K124" s="302"/>
    </row>
    <row r="125" spans="1:11" ht="18.75">
      <c r="A125" s="306" t="s">
        <v>391</v>
      </c>
      <c r="B125" s="307"/>
      <c r="C125" s="300">
        <v>4.8</v>
      </c>
      <c r="D125" s="300">
        <v>5</v>
      </c>
      <c r="E125" s="300">
        <v>13.6</v>
      </c>
      <c r="F125" s="300">
        <f t="shared" si="8"/>
        <v>5</v>
      </c>
      <c r="G125" s="300">
        <v>1</v>
      </c>
      <c r="H125" s="300">
        <v>0.30000000000000004</v>
      </c>
      <c r="I125" s="300">
        <v>1</v>
      </c>
      <c r="J125" s="300">
        <v>2.7</v>
      </c>
      <c r="K125" s="302"/>
    </row>
    <row r="126" spans="1:11" ht="18.75">
      <c r="A126" s="306" t="s">
        <v>311</v>
      </c>
      <c r="B126" s="307"/>
      <c r="C126" s="300">
        <v>36.6</v>
      </c>
      <c r="D126" s="300">
        <v>30</v>
      </c>
      <c r="E126" s="300">
        <v>70.2</v>
      </c>
      <c r="F126" s="300">
        <f t="shared" si="8"/>
        <v>35</v>
      </c>
      <c r="G126" s="300">
        <v>10</v>
      </c>
      <c r="H126" s="300">
        <v>10</v>
      </c>
      <c r="I126" s="300">
        <v>10</v>
      </c>
      <c r="J126" s="300">
        <v>5</v>
      </c>
      <c r="K126" s="302"/>
    </row>
    <row r="127" spans="1:11" ht="18.75">
      <c r="A127" s="306" t="s">
        <v>392</v>
      </c>
      <c r="B127" s="307"/>
      <c r="C127" s="300">
        <v>32.8</v>
      </c>
      <c r="D127" s="300">
        <v>0</v>
      </c>
      <c r="E127" s="300">
        <v>0</v>
      </c>
      <c r="F127" s="300">
        <f t="shared" si="8"/>
        <v>0</v>
      </c>
      <c r="G127" s="300">
        <v>0</v>
      </c>
      <c r="H127" s="300">
        <v>0</v>
      </c>
      <c r="I127" s="300">
        <v>0</v>
      </c>
      <c r="J127" s="300">
        <v>0</v>
      </c>
      <c r="K127" s="302"/>
    </row>
    <row r="128" spans="1:11" ht="18.75">
      <c r="A128" s="306" t="s">
        <v>313</v>
      </c>
      <c r="B128" s="307"/>
      <c r="C128" s="300">
        <v>2.3</v>
      </c>
      <c r="D128" s="300">
        <v>0</v>
      </c>
      <c r="E128" s="300">
        <v>6.2</v>
      </c>
      <c r="F128" s="300">
        <f t="shared" si="8"/>
        <v>0</v>
      </c>
      <c r="G128" s="300">
        <v>0</v>
      </c>
      <c r="H128" s="300">
        <v>0</v>
      </c>
      <c r="I128" s="300">
        <v>0</v>
      </c>
      <c r="J128" s="300">
        <v>0</v>
      </c>
      <c r="K128" s="302"/>
    </row>
    <row r="129" spans="1:11" ht="18.75">
      <c r="A129" s="306" t="s">
        <v>393</v>
      </c>
      <c r="B129" s="307"/>
      <c r="C129" s="300">
        <v>344.3</v>
      </c>
      <c r="D129" s="300">
        <v>150</v>
      </c>
      <c r="E129" s="300">
        <v>250</v>
      </c>
      <c r="F129" s="300">
        <f t="shared" si="8"/>
        <v>170</v>
      </c>
      <c r="G129" s="300">
        <v>42.5</v>
      </c>
      <c r="H129" s="300">
        <v>85</v>
      </c>
      <c r="I129" s="300">
        <v>42.5</v>
      </c>
      <c r="J129" s="300">
        <v>0</v>
      </c>
      <c r="K129" s="302"/>
    </row>
    <row r="130" spans="1:11" ht="18.75">
      <c r="A130" s="306" t="s">
        <v>314</v>
      </c>
      <c r="B130" s="307"/>
      <c r="C130" s="300">
        <v>49.7</v>
      </c>
      <c r="D130" s="300">
        <v>0</v>
      </c>
      <c r="E130" s="300">
        <v>100</v>
      </c>
      <c r="F130" s="300">
        <f t="shared" si="8"/>
        <v>0</v>
      </c>
      <c r="G130" s="300">
        <v>0</v>
      </c>
      <c r="H130" s="300">
        <v>0</v>
      </c>
      <c r="I130" s="300">
        <v>0</v>
      </c>
      <c r="J130" s="300">
        <v>0</v>
      </c>
      <c r="K130" s="302"/>
    </row>
    <row r="131" spans="1:11" ht="18.75">
      <c r="A131" s="306" t="s">
        <v>394</v>
      </c>
      <c r="B131" s="307"/>
      <c r="C131" s="300">
        <v>43</v>
      </c>
      <c r="D131" s="300">
        <v>0</v>
      </c>
      <c r="E131" s="300">
        <v>120</v>
      </c>
      <c r="F131" s="300">
        <f t="shared" si="8"/>
        <v>0</v>
      </c>
      <c r="G131" s="300">
        <v>0</v>
      </c>
      <c r="H131" s="300">
        <v>0</v>
      </c>
      <c r="I131" s="300">
        <v>0</v>
      </c>
      <c r="J131" s="300">
        <v>0</v>
      </c>
      <c r="K131" s="302"/>
    </row>
    <row r="132" spans="1:11" ht="18.75">
      <c r="A132" s="306" t="s">
        <v>395</v>
      </c>
      <c r="B132" s="307"/>
      <c r="C132" s="300">
        <v>726.3</v>
      </c>
      <c r="D132" s="300">
        <v>330</v>
      </c>
      <c r="E132" s="300">
        <v>476</v>
      </c>
      <c r="F132" s="300">
        <f t="shared" si="8"/>
        <v>404</v>
      </c>
      <c r="G132" s="300">
        <v>88.5</v>
      </c>
      <c r="H132" s="300">
        <v>227</v>
      </c>
      <c r="I132" s="300">
        <v>88.5</v>
      </c>
      <c r="J132" s="300">
        <v>0</v>
      </c>
      <c r="K132" s="302"/>
    </row>
    <row r="133" spans="1:11" ht="18.75">
      <c r="A133" s="306" t="s">
        <v>345</v>
      </c>
      <c r="B133" s="307"/>
      <c r="C133" s="300">
        <v>58.7</v>
      </c>
      <c r="D133" s="300">
        <v>0</v>
      </c>
      <c r="E133" s="300">
        <v>50</v>
      </c>
      <c r="F133" s="300">
        <f t="shared" si="8"/>
        <v>0</v>
      </c>
      <c r="G133" s="300">
        <v>0</v>
      </c>
      <c r="H133" s="300">
        <v>0</v>
      </c>
      <c r="I133" s="300">
        <v>0</v>
      </c>
      <c r="J133" s="300">
        <v>0</v>
      </c>
      <c r="K133" s="302"/>
    </row>
    <row r="134" spans="1:11" ht="18.75">
      <c r="A134" s="306" t="s">
        <v>396</v>
      </c>
      <c r="B134" s="307"/>
      <c r="C134" s="300">
        <v>15.8</v>
      </c>
      <c r="D134" s="300">
        <v>5</v>
      </c>
      <c r="E134" s="300">
        <v>0</v>
      </c>
      <c r="F134" s="300">
        <f t="shared" si="8"/>
        <v>6</v>
      </c>
      <c r="G134" s="300">
        <v>1.5</v>
      </c>
      <c r="H134" s="300">
        <v>1.5</v>
      </c>
      <c r="I134" s="300">
        <v>1.5</v>
      </c>
      <c r="J134" s="300">
        <v>1.5</v>
      </c>
      <c r="K134" s="302"/>
    </row>
    <row r="135" spans="1:11" ht="18.75">
      <c r="A135" s="306" t="s">
        <v>379</v>
      </c>
      <c r="B135" s="307"/>
      <c r="C135" s="300">
        <v>84.5</v>
      </c>
      <c r="D135" s="300">
        <v>0</v>
      </c>
      <c r="E135" s="300">
        <v>0</v>
      </c>
      <c r="F135" s="300">
        <f t="shared" si="8"/>
        <v>0</v>
      </c>
      <c r="G135" s="300">
        <v>0</v>
      </c>
      <c r="H135" s="300">
        <v>0</v>
      </c>
      <c r="I135" s="300">
        <v>0</v>
      </c>
      <c r="J135" s="300">
        <v>0</v>
      </c>
      <c r="K135" s="302"/>
    </row>
    <row r="136" spans="1:11" ht="18.75">
      <c r="A136" s="306" t="s">
        <v>310</v>
      </c>
      <c r="B136" s="307"/>
      <c r="C136" s="300">
        <v>0.2</v>
      </c>
      <c r="D136" s="300">
        <v>0</v>
      </c>
      <c r="E136" s="300">
        <v>0.2</v>
      </c>
      <c r="F136" s="300">
        <f t="shared" si="8"/>
        <v>0</v>
      </c>
      <c r="G136" s="300">
        <v>0</v>
      </c>
      <c r="H136" s="300">
        <v>0</v>
      </c>
      <c r="I136" s="300">
        <v>0</v>
      </c>
      <c r="J136" s="300">
        <v>0</v>
      </c>
      <c r="K136" s="302"/>
    </row>
    <row r="137" spans="1:11" ht="18.75">
      <c r="A137" s="306" t="s">
        <v>397</v>
      </c>
      <c r="B137" s="307"/>
      <c r="C137" s="300">
        <v>3.2</v>
      </c>
      <c r="D137" s="300">
        <v>0</v>
      </c>
      <c r="E137" s="300">
        <v>3.2</v>
      </c>
      <c r="F137" s="300">
        <f t="shared" si="8"/>
        <v>0</v>
      </c>
      <c r="G137" s="300">
        <v>0</v>
      </c>
      <c r="H137" s="300">
        <v>0</v>
      </c>
      <c r="I137" s="300">
        <v>0</v>
      </c>
      <c r="J137" s="300">
        <v>0</v>
      </c>
      <c r="K137" s="302"/>
    </row>
    <row r="138" spans="1:11" ht="18.75">
      <c r="A138" s="306" t="s">
        <v>308</v>
      </c>
      <c r="B138" s="307"/>
      <c r="C138" s="300">
        <v>1.1</v>
      </c>
      <c r="D138" s="300">
        <v>0</v>
      </c>
      <c r="E138" s="300">
        <v>40</v>
      </c>
      <c r="F138" s="300">
        <f t="shared" si="8"/>
        <v>0</v>
      </c>
      <c r="G138" s="300">
        <v>0</v>
      </c>
      <c r="H138" s="300">
        <v>0</v>
      </c>
      <c r="I138" s="300">
        <v>0</v>
      </c>
      <c r="J138" s="300">
        <v>0</v>
      </c>
      <c r="K138" s="302"/>
    </row>
    <row r="139" spans="1:11" ht="18.75">
      <c r="A139" s="306" t="s">
        <v>398</v>
      </c>
      <c r="B139" s="307"/>
      <c r="C139" s="300">
        <v>9.9</v>
      </c>
      <c r="D139" s="300">
        <v>10</v>
      </c>
      <c r="E139" s="300">
        <v>11.6</v>
      </c>
      <c r="F139" s="300">
        <f t="shared" si="8"/>
        <v>10</v>
      </c>
      <c r="G139" s="300">
        <v>2.5</v>
      </c>
      <c r="H139" s="300">
        <v>2.5</v>
      </c>
      <c r="I139" s="300">
        <v>2.5</v>
      </c>
      <c r="J139" s="300">
        <v>2.5</v>
      </c>
      <c r="K139" s="302"/>
    </row>
    <row r="140" spans="1:11" ht="18.75">
      <c r="A140" s="306" t="s">
        <v>399</v>
      </c>
      <c r="B140" s="307"/>
      <c r="C140" s="300">
        <v>25.4</v>
      </c>
      <c r="D140" s="300">
        <v>0</v>
      </c>
      <c r="E140" s="300">
        <v>0</v>
      </c>
      <c r="F140" s="300">
        <f t="shared" si="8"/>
        <v>0</v>
      </c>
      <c r="G140" s="300">
        <v>0</v>
      </c>
      <c r="H140" s="300">
        <v>0</v>
      </c>
      <c r="I140" s="300">
        <v>0</v>
      </c>
      <c r="J140" s="300">
        <v>0</v>
      </c>
      <c r="K140" s="302"/>
    </row>
    <row r="141" spans="1:11" ht="37.5">
      <c r="A141" s="298" t="s">
        <v>62</v>
      </c>
      <c r="B141" s="303">
        <v>1100</v>
      </c>
      <c r="C141" s="304">
        <f aca="true" t="shared" si="9" ref="C141:J141">SUM(C90+C40-C41-C82-C113)</f>
        <v>-3305.2</v>
      </c>
      <c r="D141" s="304">
        <f t="shared" si="9"/>
        <v>-900.0000000000173</v>
      </c>
      <c r="E141" s="304">
        <f t="shared" si="9"/>
        <v>-9213.300000000012</v>
      </c>
      <c r="F141" s="304">
        <f t="shared" si="9"/>
        <v>-2000.0000000000173</v>
      </c>
      <c r="G141" s="304">
        <f t="shared" si="9"/>
        <v>-500.0000000000051</v>
      </c>
      <c r="H141" s="304">
        <f t="shared" si="9"/>
        <v>-500.00000000000074</v>
      </c>
      <c r="I141" s="304">
        <f t="shared" si="9"/>
        <v>-500.0000000000015</v>
      </c>
      <c r="J141" s="304">
        <f t="shared" si="9"/>
        <v>-500.0000000000029</v>
      </c>
      <c r="K141" s="301"/>
    </row>
    <row r="142" spans="1:11" ht="18.75">
      <c r="A142" s="299" t="s">
        <v>400</v>
      </c>
      <c r="B142" s="294">
        <v>1110</v>
      </c>
      <c r="C142" s="300">
        <v>0</v>
      </c>
      <c r="D142" s="300">
        <v>0</v>
      </c>
      <c r="E142" s="300">
        <v>0</v>
      </c>
      <c r="F142" s="300">
        <f>SUM(G142:J142)</f>
        <v>0</v>
      </c>
      <c r="G142" s="300">
        <v>0</v>
      </c>
      <c r="H142" s="300">
        <v>0</v>
      </c>
      <c r="I142" s="300">
        <v>0</v>
      </c>
      <c r="J142" s="300">
        <v>0</v>
      </c>
      <c r="K142" s="302"/>
    </row>
    <row r="143" spans="1:11" ht="18.75">
      <c r="A143" s="299" t="s">
        <v>401</v>
      </c>
      <c r="B143" s="294">
        <v>1120</v>
      </c>
      <c r="C143" s="300">
        <v>0</v>
      </c>
      <c r="D143" s="300">
        <v>0</v>
      </c>
      <c r="E143" s="300">
        <v>0</v>
      </c>
      <c r="F143" s="300">
        <f>SUM(G143:J143)</f>
        <v>0</v>
      </c>
      <c r="G143" s="300">
        <v>0</v>
      </c>
      <c r="H143" s="300">
        <v>0</v>
      </c>
      <c r="I143" s="300">
        <v>0</v>
      </c>
      <c r="J143" s="300">
        <v>0</v>
      </c>
      <c r="K143" s="302"/>
    </row>
    <row r="144" spans="1:11" ht="18.75">
      <c r="A144" s="299" t="s">
        <v>402</v>
      </c>
      <c r="B144" s="294">
        <v>1130</v>
      </c>
      <c r="C144" s="300">
        <v>0</v>
      </c>
      <c r="D144" s="300">
        <v>0</v>
      </c>
      <c r="E144" s="300">
        <v>0</v>
      </c>
      <c r="F144" s="300">
        <f>SUM(G144:J144)</f>
        <v>0</v>
      </c>
      <c r="G144" s="300">
        <v>0</v>
      </c>
      <c r="H144" s="300">
        <v>0</v>
      </c>
      <c r="I144" s="300">
        <v>0</v>
      </c>
      <c r="J144" s="300">
        <v>0</v>
      </c>
      <c r="K144" s="302"/>
    </row>
    <row r="145" spans="1:11" ht="18.75">
      <c r="A145" s="299" t="s">
        <v>403</v>
      </c>
      <c r="B145" s="294">
        <v>1140</v>
      </c>
      <c r="C145" s="300">
        <v>47.7</v>
      </c>
      <c r="D145" s="300">
        <v>0</v>
      </c>
      <c r="E145" s="300">
        <v>0</v>
      </c>
      <c r="F145" s="300">
        <v>0</v>
      </c>
      <c r="G145" s="300">
        <v>0</v>
      </c>
      <c r="H145" s="300">
        <v>0</v>
      </c>
      <c r="I145" s="300">
        <v>0</v>
      </c>
      <c r="J145" s="300">
        <v>0</v>
      </c>
      <c r="K145" s="302"/>
    </row>
    <row r="146" spans="1:11" ht="18.75">
      <c r="A146" s="299" t="s">
        <v>69</v>
      </c>
      <c r="B146" s="294">
        <v>1150</v>
      </c>
      <c r="C146" s="300">
        <f>SUM(C147:C148)</f>
        <v>853.6</v>
      </c>
      <c r="D146" s="300">
        <v>900</v>
      </c>
      <c r="E146" s="300">
        <f aca="true" t="shared" si="10" ref="E146:J146">SUM(E147:E148)</f>
        <v>1000</v>
      </c>
      <c r="F146" s="300">
        <f t="shared" si="10"/>
        <v>2000</v>
      </c>
      <c r="G146" s="300">
        <f t="shared" si="10"/>
        <v>500</v>
      </c>
      <c r="H146" s="300">
        <f t="shared" si="10"/>
        <v>500</v>
      </c>
      <c r="I146" s="300">
        <f t="shared" si="10"/>
        <v>500</v>
      </c>
      <c r="J146" s="300">
        <f t="shared" si="10"/>
        <v>500</v>
      </c>
      <c r="K146" s="302"/>
    </row>
    <row r="147" spans="1:11" ht="18.75">
      <c r="A147" s="299" t="s">
        <v>58</v>
      </c>
      <c r="B147" s="294">
        <v>1151</v>
      </c>
      <c r="C147" s="300">
        <v>0</v>
      </c>
      <c r="D147" s="300">
        <v>0</v>
      </c>
      <c r="E147" s="300">
        <v>0</v>
      </c>
      <c r="F147" s="300">
        <v>0</v>
      </c>
      <c r="G147" s="300">
        <v>0</v>
      </c>
      <c r="H147" s="300">
        <v>0</v>
      </c>
      <c r="I147" s="300">
        <v>0</v>
      </c>
      <c r="J147" s="300">
        <v>0</v>
      </c>
      <c r="K147" s="302"/>
    </row>
    <row r="148" spans="1:11" ht="37.5">
      <c r="A148" s="299" t="s">
        <v>404</v>
      </c>
      <c r="B148" s="294">
        <v>1152</v>
      </c>
      <c r="C148" s="300">
        <v>853.6</v>
      </c>
      <c r="D148" s="300">
        <v>900</v>
      </c>
      <c r="E148" s="300">
        <v>1000</v>
      </c>
      <c r="F148" s="300">
        <f>G148+H148+I148+J148</f>
        <v>2000</v>
      </c>
      <c r="G148" s="300">
        <v>500</v>
      </c>
      <c r="H148" s="300">
        <v>500</v>
      </c>
      <c r="I148" s="300">
        <v>500</v>
      </c>
      <c r="J148" s="300">
        <v>500</v>
      </c>
      <c r="K148" s="302"/>
    </row>
    <row r="149" spans="1:11" ht="18.75">
      <c r="A149" s="299" t="s">
        <v>70</v>
      </c>
      <c r="B149" s="294">
        <v>1160</v>
      </c>
      <c r="C149" s="300">
        <v>0</v>
      </c>
      <c r="D149" s="300">
        <v>0</v>
      </c>
      <c r="E149" s="300">
        <v>0</v>
      </c>
      <c r="F149" s="300">
        <v>0</v>
      </c>
      <c r="G149" s="300">
        <v>0</v>
      </c>
      <c r="H149" s="300">
        <v>0</v>
      </c>
      <c r="I149" s="300">
        <v>0</v>
      </c>
      <c r="J149" s="300">
        <v>0</v>
      </c>
      <c r="K149" s="302"/>
    </row>
    <row r="150" spans="1:11" ht="18.75">
      <c r="A150" s="299" t="s">
        <v>58</v>
      </c>
      <c r="B150" s="294">
        <v>1161</v>
      </c>
      <c r="C150" s="300">
        <v>0</v>
      </c>
      <c r="D150" s="300">
        <v>0</v>
      </c>
      <c r="E150" s="300">
        <v>0</v>
      </c>
      <c r="F150" s="300">
        <v>0</v>
      </c>
      <c r="G150" s="300">
        <v>0</v>
      </c>
      <c r="H150" s="300">
        <v>0</v>
      </c>
      <c r="I150" s="300">
        <v>0</v>
      </c>
      <c r="J150" s="300">
        <v>0</v>
      </c>
      <c r="K150" s="302"/>
    </row>
    <row r="151" spans="1:11" ht="18.75">
      <c r="A151" s="299" t="s">
        <v>405</v>
      </c>
      <c r="B151" s="294">
        <v>1162</v>
      </c>
      <c r="C151" s="300">
        <v>0</v>
      </c>
      <c r="D151" s="300">
        <v>0</v>
      </c>
      <c r="E151" s="300">
        <v>0</v>
      </c>
      <c r="F151" s="300">
        <v>0</v>
      </c>
      <c r="G151" s="300">
        <v>0</v>
      </c>
      <c r="H151" s="300">
        <v>0</v>
      </c>
      <c r="I151" s="300">
        <v>0</v>
      </c>
      <c r="J151" s="300">
        <v>0</v>
      </c>
      <c r="K151" s="302"/>
    </row>
    <row r="152" spans="1:11" ht="18.75">
      <c r="A152" s="298" t="s">
        <v>71</v>
      </c>
      <c r="B152" s="303">
        <v>1170</v>
      </c>
      <c r="C152" s="310">
        <f>C141-C145+C146</f>
        <v>-2499.2999999999997</v>
      </c>
      <c r="D152" s="310">
        <f>D141-D145+D146</f>
        <v>-1.7280399333685637E-11</v>
      </c>
      <c r="E152" s="310">
        <f>E141-E145+E146</f>
        <v>-8213.300000000012</v>
      </c>
      <c r="F152" s="310">
        <f>F141-F145+F146</f>
        <v>-1.7280399333685637E-11</v>
      </c>
      <c r="G152" s="311">
        <v>0</v>
      </c>
      <c r="H152" s="310">
        <f>H141-H145+H146</f>
        <v>-7.389644451905042E-13</v>
      </c>
      <c r="I152" s="310">
        <f>I141-I145+I146</f>
        <v>-1.4779288903810084E-12</v>
      </c>
      <c r="J152" s="310">
        <f>J141-J145+J146</f>
        <v>-2.8990143619012088E-12</v>
      </c>
      <c r="K152" s="301"/>
    </row>
    <row r="153" spans="1:11" ht="18.75">
      <c r="A153" s="299" t="s">
        <v>72</v>
      </c>
      <c r="B153" s="295">
        <v>1180</v>
      </c>
      <c r="C153" s="300">
        <v>392.2</v>
      </c>
      <c r="D153" s="300">
        <v>0</v>
      </c>
      <c r="E153" s="300">
        <v>0</v>
      </c>
      <c r="F153" s="300">
        <f>SUM(G153:J153)</f>
        <v>0</v>
      </c>
      <c r="G153" s="300">
        <v>0</v>
      </c>
      <c r="H153" s="300">
        <v>0</v>
      </c>
      <c r="I153" s="300">
        <v>0</v>
      </c>
      <c r="J153" s="300">
        <v>0</v>
      </c>
      <c r="K153" s="301"/>
    </row>
    <row r="154" spans="1:11" ht="18.75">
      <c r="A154" s="299" t="s">
        <v>73</v>
      </c>
      <c r="B154" s="295">
        <v>1181</v>
      </c>
      <c r="C154" s="300">
        <v>0</v>
      </c>
      <c r="D154" s="300">
        <v>0</v>
      </c>
      <c r="E154" s="300">
        <v>0</v>
      </c>
      <c r="F154" s="300">
        <f>SUM(G154:J154)</f>
        <v>0</v>
      </c>
      <c r="G154" s="300">
        <v>0</v>
      </c>
      <c r="H154" s="300">
        <v>0</v>
      </c>
      <c r="I154" s="300">
        <v>0</v>
      </c>
      <c r="J154" s="300">
        <v>0</v>
      </c>
      <c r="K154" s="301"/>
    </row>
    <row r="155" spans="1:11" ht="37.5">
      <c r="A155" s="299" t="s">
        <v>74</v>
      </c>
      <c r="B155" s="294">
        <v>1190</v>
      </c>
      <c r="C155" s="300">
        <v>0</v>
      </c>
      <c r="D155" s="300">
        <v>0</v>
      </c>
      <c r="E155" s="300">
        <v>0</v>
      </c>
      <c r="F155" s="300">
        <f>SUM(G155:J155)</f>
        <v>0</v>
      </c>
      <c r="G155" s="300">
        <v>0</v>
      </c>
      <c r="H155" s="300">
        <v>0</v>
      </c>
      <c r="I155" s="300">
        <v>0</v>
      </c>
      <c r="J155" s="300">
        <v>0</v>
      </c>
      <c r="K155" s="302"/>
    </row>
    <row r="156" spans="1:11" ht="37.5">
      <c r="A156" s="299" t="s">
        <v>75</v>
      </c>
      <c r="B156" s="294">
        <v>1191</v>
      </c>
      <c r="C156" s="300">
        <v>0</v>
      </c>
      <c r="D156" s="300">
        <v>0</v>
      </c>
      <c r="E156" s="300">
        <v>0</v>
      </c>
      <c r="F156" s="300">
        <f>SUM(G156:J156)</f>
        <v>0</v>
      </c>
      <c r="G156" s="300">
        <v>0</v>
      </c>
      <c r="H156" s="300">
        <v>0</v>
      </c>
      <c r="I156" s="300">
        <v>0</v>
      </c>
      <c r="J156" s="300">
        <v>0</v>
      </c>
      <c r="K156" s="302"/>
    </row>
    <row r="157" spans="1:11" ht="18.75">
      <c r="A157" s="298" t="s">
        <v>406</v>
      </c>
      <c r="B157" s="303">
        <v>1200</v>
      </c>
      <c r="C157" s="310">
        <f>C152-C153</f>
        <v>-2891.4999999999995</v>
      </c>
      <c r="D157" s="310">
        <f>D152-D153</f>
        <v>-1.7280399333685637E-11</v>
      </c>
      <c r="E157" s="310">
        <f>E152-E153</f>
        <v>-8213.300000000012</v>
      </c>
      <c r="F157" s="304">
        <f>SUM(F152,F153,F154,F155,F156)</f>
        <v>-1.7280399333685637E-11</v>
      </c>
      <c r="G157" s="304">
        <f>SUM(G152,G153,G154,G155,G156)</f>
        <v>0</v>
      </c>
      <c r="H157" s="304">
        <f>SUM(H152,H153,H154,H155,H156)</f>
        <v>-7.389644451905042E-13</v>
      </c>
      <c r="I157" s="304">
        <f>SUM(I152,I153,I154,I155,I156)</f>
        <v>-1.4779288903810084E-12</v>
      </c>
      <c r="J157" s="304">
        <f>SUM(J152,J153,J154,J155,J156)</f>
        <v>-2.8990143619012088E-12</v>
      </c>
      <c r="K157" s="301"/>
    </row>
    <row r="158" spans="1:11" ht="18.75">
      <c r="A158" s="299" t="s">
        <v>407</v>
      </c>
      <c r="B158" s="294">
        <v>1201</v>
      </c>
      <c r="C158" s="300">
        <v>0</v>
      </c>
      <c r="D158" s="300">
        <v>0</v>
      </c>
      <c r="E158" s="300">
        <v>0</v>
      </c>
      <c r="F158" s="300">
        <f>SUM(G158:J158)</f>
        <v>0</v>
      </c>
      <c r="G158" s="300">
        <v>0</v>
      </c>
      <c r="H158" s="300">
        <v>0</v>
      </c>
      <c r="I158" s="300">
        <v>0</v>
      </c>
      <c r="J158" s="300">
        <v>0</v>
      </c>
      <c r="K158" s="302"/>
    </row>
    <row r="159" spans="1:11" ht="18.75">
      <c r="A159" s="299" t="s">
        <v>408</v>
      </c>
      <c r="B159" s="294">
        <v>1202</v>
      </c>
      <c r="C159" s="300">
        <v>-2891.5</v>
      </c>
      <c r="D159" s="300">
        <v>0</v>
      </c>
      <c r="E159" s="300">
        <v>-8213.3</v>
      </c>
      <c r="F159" s="300">
        <f>SUM(G159:J159)</f>
        <v>0</v>
      </c>
      <c r="G159" s="300">
        <v>0</v>
      </c>
      <c r="H159" s="300">
        <v>0</v>
      </c>
      <c r="I159" s="300">
        <v>0</v>
      </c>
      <c r="J159" s="300">
        <v>0</v>
      </c>
      <c r="K159" s="302"/>
    </row>
    <row r="160" spans="1:11" ht="18.75">
      <c r="A160" s="298" t="s">
        <v>79</v>
      </c>
      <c r="B160" s="294">
        <v>1210</v>
      </c>
      <c r="C160" s="304">
        <f>SUM(C7,C90,C142,C144,C146,C154,C155)</f>
        <v>84674.2</v>
      </c>
      <c r="D160" s="304">
        <f>SUM(D7,D90,D142,D144,D146,D154,D155)</f>
        <v>94163.29999999999</v>
      </c>
      <c r="E160" s="304">
        <f>SUM(E7,E90,E142,E144,E146,E154,E155)</f>
        <v>86668.5</v>
      </c>
      <c r="F160" s="304">
        <f>SUM(F7,F90,F142,F144,F146,F154,F155)</f>
        <v>106659.9</v>
      </c>
      <c r="G160" s="304">
        <f>G7+G90+G146</f>
        <v>32392.199999999997</v>
      </c>
      <c r="H160" s="304">
        <f>H7+H90+H146</f>
        <v>25479.7</v>
      </c>
      <c r="I160" s="304">
        <f>I7+I90+I146</f>
        <v>23272</v>
      </c>
      <c r="J160" s="304">
        <f>J7+J90+J146</f>
        <v>25516</v>
      </c>
      <c r="K160" s="302"/>
    </row>
    <row r="161" spans="1:11" ht="18.75">
      <c r="A161" s="298" t="s">
        <v>80</v>
      </c>
      <c r="B161" s="294">
        <v>1220</v>
      </c>
      <c r="C161" s="304">
        <f>SUM(C8,C41,C82,C113,C143,C145,C149,C153,C156)</f>
        <v>87565.69999999998</v>
      </c>
      <c r="D161" s="304">
        <f>SUM(D8,D41,D82,D113,D143,D145,D149,D153,D156)</f>
        <v>94163.3</v>
      </c>
      <c r="E161" s="304">
        <f>E8+E41+E113</f>
        <v>94881.8</v>
      </c>
      <c r="F161" s="304">
        <f>SUM(F8,F41,F82,F113,F143,F145,F149,F153,F156)</f>
        <v>106659.90000000001</v>
      </c>
      <c r="G161" s="304">
        <f>G8+G41+G113</f>
        <v>32392.2</v>
      </c>
      <c r="H161" s="304">
        <f>H8+H41+H113</f>
        <v>25479.7</v>
      </c>
      <c r="I161" s="304">
        <f>I8+I41+I113</f>
        <v>23271.999999999996</v>
      </c>
      <c r="J161" s="304">
        <f>J8+J41+J113</f>
        <v>25516.000000000004</v>
      </c>
      <c r="K161" s="302"/>
    </row>
    <row r="162" spans="1:11" ht="18.75">
      <c r="A162" s="299" t="s">
        <v>81</v>
      </c>
      <c r="B162" s="294">
        <v>1230</v>
      </c>
      <c r="C162" s="300">
        <v>0</v>
      </c>
      <c r="D162" s="300">
        <v>0</v>
      </c>
      <c r="E162" s="300">
        <v>0</v>
      </c>
      <c r="F162" s="300">
        <f>SUM(G162:J162)</f>
        <v>0</v>
      </c>
      <c r="G162" s="300">
        <v>0</v>
      </c>
      <c r="H162" s="300">
        <v>0</v>
      </c>
      <c r="I162" s="300">
        <v>0</v>
      </c>
      <c r="J162" s="300">
        <v>0</v>
      </c>
      <c r="K162" s="302"/>
    </row>
    <row r="163" spans="1:11" ht="18.75" customHeight="1">
      <c r="A163" s="394" t="s">
        <v>82</v>
      </c>
      <c r="B163" s="394"/>
      <c r="C163" s="394"/>
      <c r="D163" s="394"/>
      <c r="E163" s="394"/>
      <c r="F163" s="394"/>
      <c r="G163" s="394"/>
      <c r="H163" s="394"/>
      <c r="I163" s="394"/>
      <c r="J163" s="394"/>
      <c r="K163" s="394"/>
    </row>
    <row r="164" spans="1:11" ht="18.75">
      <c r="A164" s="299" t="s">
        <v>83</v>
      </c>
      <c r="B164" s="294">
        <v>1400</v>
      </c>
      <c r="C164" s="300">
        <v>12561.1</v>
      </c>
      <c r="D164" s="300">
        <v>27384.4</v>
      </c>
      <c r="E164" s="300">
        <v>21876.7</v>
      </c>
      <c r="F164" s="300">
        <f>F165+F166</f>
        <v>39116.7</v>
      </c>
      <c r="G164" s="300">
        <f>G165+G166</f>
        <v>14664.199999999999</v>
      </c>
      <c r="H164" s="300">
        <f>H165+H166</f>
        <v>8654.4</v>
      </c>
      <c r="I164" s="300">
        <f>I165+I166</f>
        <v>6596.8</v>
      </c>
      <c r="J164" s="300">
        <f>J165+J166</f>
        <v>9201.300000000001</v>
      </c>
      <c r="K164" s="302"/>
    </row>
    <row r="165" spans="1:11" ht="18.75">
      <c r="A165" s="299" t="s">
        <v>84</v>
      </c>
      <c r="B165" s="312">
        <v>1401</v>
      </c>
      <c r="C165" s="300">
        <v>3490</v>
      </c>
      <c r="D165" s="300">
        <v>9540</v>
      </c>
      <c r="E165" s="300">
        <v>3800</v>
      </c>
      <c r="F165" s="300">
        <f>F9+F14</f>
        <v>3295.8</v>
      </c>
      <c r="G165" s="300">
        <f>G9+G14</f>
        <v>988.9</v>
      </c>
      <c r="H165" s="300">
        <f>H9+H14</f>
        <v>984.5</v>
      </c>
      <c r="I165" s="300">
        <f>I9+I14</f>
        <v>804.3</v>
      </c>
      <c r="J165" s="300">
        <f>J9+J14</f>
        <v>518.1</v>
      </c>
      <c r="K165" s="302"/>
    </row>
    <row r="166" spans="1:11" ht="18.75">
      <c r="A166" s="299" t="s">
        <v>85</v>
      </c>
      <c r="B166" s="312">
        <v>1402</v>
      </c>
      <c r="C166" s="300">
        <v>8722.7</v>
      </c>
      <c r="D166" s="300">
        <v>17517.2</v>
      </c>
      <c r="E166" s="300">
        <f>E10+E11+E61+E64</f>
        <v>17778.2</v>
      </c>
      <c r="F166" s="300">
        <f>F11+F10+F18+F62+F64+F65</f>
        <v>35820.899999999994</v>
      </c>
      <c r="G166" s="300">
        <f>G11+G10+G18+G62+G64+G65</f>
        <v>13675.3</v>
      </c>
      <c r="H166" s="300">
        <f>H11+H10+H18+H62+H64+H65</f>
        <v>7669.9</v>
      </c>
      <c r="I166" s="300">
        <f>I11+I10+I18+I62+I64+I65</f>
        <v>5792.5</v>
      </c>
      <c r="J166" s="300">
        <f>J11+J10+J18+J62+J64+J65</f>
        <v>8683.2</v>
      </c>
      <c r="K166" s="302"/>
    </row>
    <row r="167" spans="1:11" ht="18.75">
      <c r="A167" s="299" t="s">
        <v>86</v>
      </c>
      <c r="B167" s="312">
        <v>1410</v>
      </c>
      <c r="C167" s="300">
        <v>42483.9</v>
      </c>
      <c r="D167" s="300">
        <f>D12+D49</f>
        <v>47109</v>
      </c>
      <c r="E167" s="300">
        <f>E12+E49</f>
        <v>47617.2</v>
      </c>
      <c r="F167" s="300">
        <f>F12+F49</f>
        <v>47035.4</v>
      </c>
      <c r="G167" s="300">
        <f>G12+G49</f>
        <v>12470.6</v>
      </c>
      <c r="H167" s="300">
        <f>H12+H49</f>
        <v>11593.4</v>
      </c>
      <c r="I167" s="300">
        <f>I12+I49</f>
        <v>11557.7</v>
      </c>
      <c r="J167" s="300">
        <f>J12+J49</f>
        <v>11413.7</v>
      </c>
      <c r="K167" s="302"/>
    </row>
    <row r="168" spans="1:11" ht="18.75">
      <c r="A168" s="299" t="s">
        <v>87</v>
      </c>
      <c r="B168" s="312">
        <v>1420</v>
      </c>
      <c r="C168" s="300">
        <v>15879.9</v>
      </c>
      <c r="D168" s="300">
        <f>D13+D50</f>
        <v>10364.1</v>
      </c>
      <c r="E168" s="300">
        <f>E13+E50</f>
        <v>10475.8</v>
      </c>
      <c r="F168" s="300">
        <f>F13+F50</f>
        <v>10347.8</v>
      </c>
      <c r="G168" s="300">
        <f>G13+G50</f>
        <v>2743.5</v>
      </c>
      <c r="H168" s="300">
        <f>H13+H50</f>
        <v>2550.6</v>
      </c>
      <c r="I168" s="300">
        <f>I13+I50</f>
        <v>2542.7</v>
      </c>
      <c r="J168" s="300">
        <f>J13+J50</f>
        <v>2511</v>
      </c>
      <c r="K168" s="302"/>
    </row>
    <row r="169" spans="1:11" ht="18.75">
      <c r="A169" s="299" t="s">
        <v>88</v>
      </c>
      <c r="B169" s="312">
        <v>1430</v>
      </c>
      <c r="C169" s="300">
        <v>7834.8</v>
      </c>
      <c r="D169" s="300">
        <f>D15+D51+D121</f>
        <v>7800</v>
      </c>
      <c r="E169" s="300">
        <f>E15+E51</f>
        <v>7580.2</v>
      </c>
      <c r="F169" s="300">
        <f>G169+H169+I169+J169</f>
        <v>7700</v>
      </c>
      <c r="G169" s="300">
        <v>1925</v>
      </c>
      <c r="H169" s="300">
        <v>1925</v>
      </c>
      <c r="I169" s="300">
        <v>1925</v>
      </c>
      <c r="J169" s="300">
        <v>1925</v>
      </c>
      <c r="K169" s="302"/>
    </row>
    <row r="170" spans="1:11" ht="18.75">
      <c r="A170" s="299" t="s">
        <v>89</v>
      </c>
      <c r="B170" s="312">
        <v>1440</v>
      </c>
      <c r="C170" s="300">
        <v>8366.1</v>
      </c>
      <c r="D170" s="300">
        <f>D119-D120+D63-D64-D65+D43+D45+D47+D48+D16-D17-D18</f>
        <v>1505.8</v>
      </c>
      <c r="E170" s="300">
        <f>E16-E18+E43+E45+E48+E56+E63-E64-E65+E113</f>
        <v>7331.9</v>
      </c>
      <c r="F170" s="300">
        <f>F16-F18+F63-F64-F65+F113</f>
        <v>2460</v>
      </c>
      <c r="G170" s="300">
        <f>G16-G18+G63-G64-G65+G113</f>
        <v>588.9</v>
      </c>
      <c r="H170" s="300">
        <f>H16-H18+H63-H64-H65+H113</f>
        <v>756.3</v>
      </c>
      <c r="I170" s="300">
        <f>I16-I18+I63-I64-I65+I113</f>
        <v>649.8</v>
      </c>
      <c r="J170" s="300">
        <f>J16-J18+J63-J64-J65+J113</f>
        <v>464.99999999999994</v>
      </c>
      <c r="K170" s="302"/>
    </row>
    <row r="171" spans="1:11" ht="18.75">
      <c r="A171" s="298" t="s">
        <v>90</v>
      </c>
      <c r="B171" s="313">
        <v>1450</v>
      </c>
      <c r="C171" s="304">
        <f>SUM(C164,C167:C170)</f>
        <v>87125.8</v>
      </c>
      <c r="D171" s="304">
        <f>SUM(D164,D167:D170)</f>
        <v>94163.3</v>
      </c>
      <c r="E171" s="304">
        <f>E164+E167+E168+E169+E170</f>
        <v>94881.79999999999</v>
      </c>
      <c r="F171" s="304">
        <f>SUM(F164,F167:F170)</f>
        <v>106659.90000000001</v>
      </c>
      <c r="G171" s="304">
        <f>SUM(G164,G167:G170)</f>
        <v>32392.2</v>
      </c>
      <c r="H171" s="304">
        <f>SUM(H164,H167:H170)</f>
        <v>25479.699999999997</v>
      </c>
      <c r="I171" s="304">
        <f>SUM(I164,I167:I170)</f>
        <v>23272</v>
      </c>
      <c r="J171" s="304">
        <f>SUM(J164,J167:J170)</f>
        <v>25516</v>
      </c>
      <c r="K171" s="301"/>
    </row>
    <row r="172" spans="1:11" ht="18.75">
      <c r="A172" s="314"/>
      <c r="B172" s="315"/>
      <c r="C172" s="316"/>
      <c r="D172" s="316"/>
      <c r="E172" s="316"/>
      <c r="F172" s="316"/>
      <c r="G172" s="316"/>
      <c r="H172" s="316"/>
      <c r="I172" s="316"/>
      <c r="J172" s="316"/>
      <c r="K172" s="317"/>
    </row>
    <row r="173" spans="1:11" ht="18.75">
      <c r="A173" s="318"/>
      <c r="B173" s="319"/>
      <c r="C173" s="320"/>
      <c r="D173" s="321"/>
      <c r="E173" s="321"/>
      <c r="F173" s="321"/>
      <c r="G173" s="321"/>
      <c r="H173" s="321"/>
      <c r="I173" s="321"/>
      <c r="J173" s="321"/>
      <c r="K173" s="293"/>
    </row>
    <row r="174" spans="1:11" ht="34.5" customHeight="1">
      <c r="A174" s="314" t="s">
        <v>409</v>
      </c>
      <c r="B174" s="319"/>
      <c r="C174" s="395" t="s">
        <v>410</v>
      </c>
      <c r="D174" s="395"/>
      <c r="E174" s="395"/>
      <c r="F174" s="395"/>
      <c r="G174" s="322"/>
      <c r="H174" s="396" t="s">
        <v>411</v>
      </c>
      <c r="I174" s="396"/>
      <c r="J174" s="396"/>
      <c r="K174" s="293"/>
    </row>
    <row r="175" spans="1:11" ht="18.75" customHeight="1">
      <c r="A175" s="324" t="s">
        <v>412</v>
      </c>
      <c r="B175" s="293"/>
      <c r="C175" s="397" t="s">
        <v>413</v>
      </c>
      <c r="D175" s="397"/>
      <c r="E175" s="397"/>
      <c r="F175" s="397"/>
      <c r="G175" s="325"/>
      <c r="H175" s="398" t="s">
        <v>414</v>
      </c>
      <c r="I175" s="398"/>
      <c r="J175" s="398"/>
      <c r="K175" s="327"/>
    </row>
    <row r="176" spans="1:11" ht="18.75">
      <c r="A176" s="293"/>
      <c r="B176" s="319"/>
      <c r="C176" s="326"/>
      <c r="D176" s="326"/>
      <c r="E176" s="326"/>
      <c r="F176" s="323"/>
      <c r="G176" s="323"/>
      <c r="H176" s="323"/>
      <c r="I176" s="323"/>
      <c r="J176" s="323"/>
      <c r="K176" s="293"/>
    </row>
  </sheetData>
  <sheetProtection selectLockedCells="1" selectUnlockedCells="1"/>
  <autoFilter ref="A5:K171"/>
  <mergeCells count="14">
    <mergeCell ref="A163:K163"/>
    <mergeCell ref="C174:F174"/>
    <mergeCell ref="H174:J174"/>
    <mergeCell ref="C175:F175"/>
    <mergeCell ref="H175:J175"/>
    <mergeCell ref="A1:K1"/>
    <mergeCell ref="A3:A4"/>
    <mergeCell ref="B3:B4"/>
    <mergeCell ref="C3:C4"/>
    <mergeCell ref="D3:D4"/>
    <mergeCell ref="E3:E4"/>
    <mergeCell ref="F3:F4"/>
    <mergeCell ref="G3:J3"/>
    <mergeCell ref="K3:K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60" zoomScaleNormal="60" zoomScaleSheetLayoutView="50" zoomScalePageLayoutView="0" workbookViewId="0" topLeftCell="A1">
      <selection activeCell="B6" sqref="B6"/>
    </sheetView>
  </sheetViews>
  <sheetFormatPr defaultColWidth="11.625" defaultRowHeight="12.75"/>
  <cols>
    <col min="1" max="1" width="53.25390625" style="0" customWidth="1"/>
    <col min="2" max="2" width="11.625" style="0" customWidth="1"/>
    <col min="3" max="10" width="17.875" style="0" customWidth="1"/>
  </cols>
  <sheetData>
    <row r="1" spans="1:10" ht="18.75">
      <c r="A1" s="399" t="s">
        <v>415</v>
      </c>
      <c r="B1" s="399"/>
      <c r="C1" s="399"/>
      <c r="D1" s="399"/>
      <c r="E1" s="399"/>
      <c r="F1" s="399"/>
      <c r="G1" s="399"/>
      <c r="H1" s="399"/>
      <c r="I1" s="399"/>
      <c r="J1" s="399"/>
    </row>
    <row r="2" spans="1:10" ht="18.75">
      <c r="A2" s="400"/>
      <c r="B2" s="400"/>
      <c r="C2" s="400"/>
      <c r="D2" s="400"/>
      <c r="E2" s="400"/>
      <c r="F2" s="400"/>
      <c r="G2" s="400"/>
      <c r="H2" s="400"/>
      <c r="I2" s="400"/>
      <c r="J2" s="400"/>
    </row>
    <row r="3" spans="1:10" ht="18.75" customHeight="1">
      <c r="A3" s="390" t="s">
        <v>31</v>
      </c>
      <c r="B3" s="391" t="s">
        <v>32</v>
      </c>
      <c r="C3" s="391" t="s">
        <v>228</v>
      </c>
      <c r="D3" s="391" t="s">
        <v>229</v>
      </c>
      <c r="E3" s="401" t="s">
        <v>230</v>
      </c>
      <c r="F3" s="391" t="s">
        <v>416</v>
      </c>
      <c r="G3" s="391" t="s">
        <v>287</v>
      </c>
      <c r="H3" s="391"/>
      <c r="I3" s="391"/>
      <c r="J3" s="391"/>
    </row>
    <row r="4" spans="1:10" ht="34.5" customHeight="1">
      <c r="A4" s="390"/>
      <c r="B4" s="391"/>
      <c r="C4" s="391"/>
      <c r="D4" s="391"/>
      <c r="E4" s="401"/>
      <c r="F4" s="391"/>
      <c r="G4" s="328" t="s">
        <v>233</v>
      </c>
      <c r="H4" s="328" t="s">
        <v>234</v>
      </c>
      <c r="I4" s="328" t="s">
        <v>235</v>
      </c>
      <c r="J4" s="328" t="s">
        <v>236</v>
      </c>
    </row>
    <row r="5" spans="1:10" ht="18.75">
      <c r="A5" s="294">
        <v>1</v>
      </c>
      <c r="B5" s="295">
        <v>2</v>
      </c>
      <c r="C5" s="295">
        <v>3</v>
      </c>
      <c r="D5" s="295">
        <v>4</v>
      </c>
      <c r="E5" s="295">
        <v>5</v>
      </c>
      <c r="F5" s="295">
        <v>6</v>
      </c>
      <c r="G5" s="295">
        <v>7</v>
      </c>
      <c r="H5" s="295">
        <v>8</v>
      </c>
      <c r="I5" s="295">
        <v>9</v>
      </c>
      <c r="J5" s="295">
        <v>10</v>
      </c>
    </row>
    <row r="6" spans="1:10" ht="37.5">
      <c r="A6" s="329" t="s">
        <v>417</v>
      </c>
      <c r="B6" s="330">
        <v>4000</v>
      </c>
      <c r="C6" s="304">
        <f>SUM(C7:C16)</f>
        <v>9420.494999999999</v>
      </c>
      <c r="D6" s="304">
        <f>SUM(D7:D16)</f>
        <v>82902.7</v>
      </c>
      <c r="E6" s="304">
        <f>SUM(E7:E16)</f>
        <v>82902.7</v>
      </c>
      <c r="F6" s="304">
        <f>SUM(F7:F17)</f>
        <v>9560</v>
      </c>
      <c r="G6" s="304">
        <f>SUM(G7:G17)</f>
        <v>4360</v>
      </c>
      <c r="H6" s="304">
        <f>SUM(H7:H17)</f>
        <v>4100</v>
      </c>
      <c r="I6" s="304">
        <f>SUM(I7:I17)</f>
        <v>750</v>
      </c>
      <c r="J6" s="304">
        <f>SUM(J7:J17)</f>
        <v>350</v>
      </c>
    </row>
    <row r="7" spans="1:10" ht="18.75">
      <c r="A7" s="299" t="s">
        <v>129</v>
      </c>
      <c r="B7" s="331" t="s">
        <v>130</v>
      </c>
      <c r="C7" s="332">
        <v>3814.2</v>
      </c>
      <c r="D7" s="332">
        <v>0</v>
      </c>
      <c r="E7" s="332">
        <v>0</v>
      </c>
      <c r="F7" s="332">
        <v>0</v>
      </c>
      <c r="G7" s="332">
        <v>0</v>
      </c>
      <c r="H7" s="332">
        <v>0</v>
      </c>
      <c r="I7" s="332">
        <v>0</v>
      </c>
      <c r="J7" s="332">
        <v>0</v>
      </c>
    </row>
    <row r="8" spans="1:10" ht="37.5">
      <c r="A8" s="299" t="s">
        <v>131</v>
      </c>
      <c r="B8" s="331">
        <v>4020</v>
      </c>
      <c r="C8" s="332">
        <v>5606.295</v>
      </c>
      <c r="D8" s="332">
        <f>9960+56000</f>
        <v>65960</v>
      </c>
      <c r="E8" s="332">
        <v>65960</v>
      </c>
      <c r="F8" s="300">
        <v>0</v>
      </c>
      <c r="G8" s="332">
        <v>0</v>
      </c>
      <c r="H8" s="332">
        <v>0</v>
      </c>
      <c r="I8" s="332">
        <v>0</v>
      </c>
      <c r="J8" s="332">
        <v>0</v>
      </c>
    </row>
    <row r="9" spans="1:10" ht="37.5">
      <c r="A9" s="299" t="s">
        <v>132</v>
      </c>
      <c r="B9" s="331">
        <v>4030</v>
      </c>
      <c r="C9" s="332">
        <v>0</v>
      </c>
      <c r="D9" s="332">
        <v>0</v>
      </c>
      <c r="E9" s="332">
        <v>0</v>
      </c>
      <c r="F9" s="332">
        <v>0</v>
      </c>
      <c r="G9" s="332">
        <v>0</v>
      </c>
      <c r="H9" s="332">
        <v>0</v>
      </c>
      <c r="I9" s="332">
        <v>0</v>
      </c>
      <c r="J9" s="332">
        <v>0</v>
      </c>
    </row>
    <row r="10" spans="1:10" ht="37.5">
      <c r="A10" s="299" t="s">
        <v>133</v>
      </c>
      <c r="B10" s="331">
        <v>4040</v>
      </c>
      <c r="C10" s="332">
        <v>0</v>
      </c>
      <c r="D10" s="332">
        <v>0</v>
      </c>
      <c r="E10" s="332">
        <v>0</v>
      </c>
      <c r="F10" s="332">
        <v>0</v>
      </c>
      <c r="G10" s="332">
        <v>0</v>
      </c>
      <c r="H10" s="332">
        <v>0</v>
      </c>
      <c r="I10" s="332">
        <v>0</v>
      </c>
      <c r="J10" s="332">
        <v>0</v>
      </c>
    </row>
    <row r="11" spans="1:10" ht="56.25">
      <c r="A11" s="299" t="s">
        <v>134</v>
      </c>
      <c r="B11" s="331">
        <v>4050</v>
      </c>
      <c r="C11" s="332">
        <v>0</v>
      </c>
      <c r="D11" s="332">
        <v>0</v>
      </c>
      <c r="E11" s="332">
        <v>0</v>
      </c>
      <c r="F11" s="300">
        <v>0</v>
      </c>
      <c r="G11" s="332">
        <v>0</v>
      </c>
      <c r="H11" s="332">
        <v>0</v>
      </c>
      <c r="I11" s="332">
        <v>0</v>
      </c>
      <c r="J11" s="332">
        <v>0</v>
      </c>
    </row>
    <row r="12" spans="1:10" ht="56.25">
      <c r="A12" s="299" t="s">
        <v>136</v>
      </c>
      <c r="B12" s="331">
        <v>4060</v>
      </c>
      <c r="C12" s="332">
        <v>0</v>
      </c>
      <c r="D12" s="332">
        <v>0</v>
      </c>
      <c r="E12" s="332">
        <v>0</v>
      </c>
      <c r="F12" s="300">
        <v>200</v>
      </c>
      <c r="G12" s="332">
        <v>200</v>
      </c>
      <c r="H12" s="332">
        <v>0</v>
      </c>
      <c r="I12" s="332">
        <v>0</v>
      </c>
      <c r="J12" s="332">
        <v>0</v>
      </c>
    </row>
    <row r="13" spans="1:10" ht="37.5">
      <c r="A13" s="299" t="s">
        <v>418</v>
      </c>
      <c r="B13" s="331">
        <v>4070</v>
      </c>
      <c r="C13" s="332">
        <v>0</v>
      </c>
      <c r="D13" s="332">
        <v>0</v>
      </c>
      <c r="E13" s="332">
        <v>0</v>
      </c>
      <c r="F13" s="300">
        <v>60</v>
      </c>
      <c r="G13" s="332">
        <v>60</v>
      </c>
      <c r="H13" s="332">
        <v>0</v>
      </c>
      <c r="I13" s="332">
        <v>0</v>
      </c>
      <c r="J13" s="332">
        <v>0</v>
      </c>
    </row>
    <row r="14" spans="1:10" ht="75">
      <c r="A14" s="299" t="s">
        <v>138</v>
      </c>
      <c r="B14" s="331">
        <v>4080</v>
      </c>
      <c r="C14" s="332">
        <v>0</v>
      </c>
      <c r="D14" s="332">
        <v>0</v>
      </c>
      <c r="E14" s="332">
        <v>0</v>
      </c>
      <c r="F14" s="300">
        <v>150</v>
      </c>
      <c r="G14" s="332">
        <v>0</v>
      </c>
      <c r="H14" s="332">
        <v>0</v>
      </c>
      <c r="I14" s="332">
        <v>150</v>
      </c>
      <c r="J14" s="332">
        <v>0</v>
      </c>
    </row>
    <row r="15" spans="1:10" ht="37.5">
      <c r="A15" s="299" t="s">
        <v>419</v>
      </c>
      <c r="B15" s="331">
        <v>4090</v>
      </c>
      <c r="C15" s="332">
        <v>0</v>
      </c>
      <c r="D15" s="332">
        <v>0</v>
      </c>
      <c r="E15" s="332">
        <v>0</v>
      </c>
      <c r="F15" s="300">
        <v>150</v>
      </c>
      <c r="G15" s="332">
        <v>0</v>
      </c>
      <c r="H15" s="332">
        <v>0</v>
      </c>
      <c r="I15" s="332">
        <v>0</v>
      </c>
      <c r="J15" s="332">
        <v>150</v>
      </c>
    </row>
    <row r="16" spans="1:10" ht="18.75">
      <c r="A16" s="299" t="s">
        <v>135</v>
      </c>
      <c r="B16" s="333">
        <v>4100</v>
      </c>
      <c r="C16" s="334">
        <v>0</v>
      </c>
      <c r="D16" s="332">
        <v>16942.7</v>
      </c>
      <c r="E16" s="332">
        <v>16942.7</v>
      </c>
      <c r="F16" s="300">
        <f>SUM(G16:J16)</f>
        <v>7000</v>
      </c>
      <c r="G16" s="332">
        <v>3500</v>
      </c>
      <c r="H16" s="332">
        <v>3500</v>
      </c>
      <c r="I16" s="332">
        <v>0</v>
      </c>
      <c r="J16" s="332">
        <v>0</v>
      </c>
    </row>
    <row r="17" spans="1:10" ht="37.5">
      <c r="A17" s="299" t="s">
        <v>140</v>
      </c>
      <c r="B17" s="333">
        <v>4110</v>
      </c>
      <c r="C17" s="334">
        <v>0</v>
      </c>
      <c r="D17" s="332">
        <v>0</v>
      </c>
      <c r="E17" s="332">
        <v>0</v>
      </c>
      <c r="F17" s="300">
        <v>2000</v>
      </c>
      <c r="G17" s="332">
        <v>600</v>
      </c>
      <c r="H17" s="332">
        <v>600</v>
      </c>
      <c r="I17" s="332">
        <v>600</v>
      </c>
      <c r="J17" s="332">
        <v>200</v>
      </c>
    </row>
  </sheetData>
  <sheetProtection selectLockedCells="1" selectUnlockedCells="1"/>
  <mergeCells count="9">
    <mergeCell ref="A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60" zoomScaleNormal="60" zoomScaleSheetLayoutView="50" zoomScalePageLayoutView="0" workbookViewId="0" topLeftCell="A1">
      <selection activeCell="F13" sqref="F13"/>
    </sheetView>
  </sheetViews>
  <sheetFormatPr defaultColWidth="11.625" defaultRowHeight="12.75"/>
  <cols>
    <col min="1" max="1" width="28.00390625" style="0" customWidth="1"/>
  </cols>
  <sheetData>
    <row r="1" spans="1:15" ht="22.5">
      <c r="A1" s="402" t="s">
        <v>420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</row>
    <row r="2" spans="1:15" ht="22.5">
      <c r="A2" s="402" t="s">
        <v>421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</row>
    <row r="3" spans="1:15" ht="23.25">
      <c r="A3" s="403" t="s">
        <v>422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</row>
    <row r="4" spans="1:15" ht="23.25">
      <c r="A4" s="403" t="s">
        <v>423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</row>
    <row r="5" spans="1:15" ht="22.5">
      <c r="A5" s="404" t="s">
        <v>424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</row>
    <row r="6" spans="1:15" ht="22.5">
      <c r="A6" s="335"/>
      <c r="B6" s="335"/>
      <c r="C6" s="335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</row>
    <row r="7" spans="1:15" ht="24" customHeight="1">
      <c r="A7" s="405"/>
      <c r="B7" s="405"/>
      <c r="C7" s="405"/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</row>
    <row r="8" spans="1:15" ht="23.25">
      <c r="A8" s="337"/>
      <c r="B8" s="337"/>
      <c r="C8" s="337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</row>
    <row r="9" spans="1:15" ht="67.5" customHeight="1">
      <c r="A9" s="406" t="s">
        <v>31</v>
      </c>
      <c r="B9" s="406"/>
      <c r="C9" s="406"/>
      <c r="D9" s="407" t="s">
        <v>425</v>
      </c>
      <c r="E9" s="407"/>
      <c r="F9" s="407" t="s">
        <v>426</v>
      </c>
      <c r="G9" s="407"/>
      <c r="H9" s="407" t="s">
        <v>230</v>
      </c>
      <c r="I9" s="407"/>
      <c r="J9" s="407" t="s">
        <v>231</v>
      </c>
      <c r="K9" s="407"/>
      <c r="L9" s="407" t="s">
        <v>427</v>
      </c>
      <c r="M9" s="407"/>
      <c r="N9" s="407" t="s">
        <v>428</v>
      </c>
      <c r="O9" s="407"/>
    </row>
    <row r="10" spans="1:15" ht="24" customHeight="1">
      <c r="A10" s="406">
        <v>1</v>
      </c>
      <c r="B10" s="406"/>
      <c r="C10" s="406"/>
      <c r="D10" s="407">
        <v>2</v>
      </c>
      <c r="E10" s="407"/>
      <c r="F10" s="407">
        <v>3</v>
      </c>
      <c r="G10" s="407"/>
      <c r="H10" s="407">
        <v>4</v>
      </c>
      <c r="I10" s="407"/>
      <c r="J10" s="407">
        <v>5</v>
      </c>
      <c r="K10" s="407"/>
      <c r="L10" s="407">
        <v>6</v>
      </c>
      <c r="M10" s="407"/>
      <c r="N10" s="407">
        <v>7</v>
      </c>
      <c r="O10" s="407"/>
    </row>
    <row r="11" spans="1:15" ht="76.5" customHeight="1">
      <c r="A11" s="408" t="s">
        <v>197</v>
      </c>
      <c r="B11" s="408"/>
      <c r="C11" s="408"/>
      <c r="D11" s="409">
        <f>SUM(D12:D14)</f>
        <v>966</v>
      </c>
      <c r="E11" s="409"/>
      <c r="F11" s="409">
        <f>SUM(F12:F14)</f>
        <v>996</v>
      </c>
      <c r="G11" s="409"/>
      <c r="H11" s="409">
        <f>SUM(H12:H14)</f>
        <v>996</v>
      </c>
      <c r="I11" s="409"/>
      <c r="J11" s="410">
        <v>996</v>
      </c>
      <c r="K11" s="410"/>
      <c r="L11" s="411">
        <f aca="true" t="shared" si="0" ref="L11:L26">J11/H11*100</f>
        <v>100</v>
      </c>
      <c r="M11" s="411"/>
      <c r="N11" s="411">
        <f aca="true" t="shared" si="1" ref="N11:N26">J11/D11*100</f>
        <v>103.1055900621118</v>
      </c>
      <c r="O11" s="411"/>
    </row>
    <row r="12" spans="1:15" ht="39.75" customHeight="1">
      <c r="A12" s="412" t="s">
        <v>199</v>
      </c>
      <c r="B12" s="412"/>
      <c r="C12" s="412"/>
      <c r="D12" s="413">
        <v>1</v>
      </c>
      <c r="E12" s="413"/>
      <c r="F12" s="413">
        <v>1</v>
      </c>
      <c r="G12" s="413"/>
      <c r="H12" s="413">
        <v>1</v>
      </c>
      <c r="I12" s="413"/>
      <c r="J12" s="413">
        <v>1</v>
      </c>
      <c r="K12" s="413"/>
      <c r="L12" s="414">
        <f t="shared" si="0"/>
        <v>100</v>
      </c>
      <c r="M12" s="414"/>
      <c r="N12" s="414">
        <f t="shared" si="1"/>
        <v>100</v>
      </c>
      <c r="O12" s="414"/>
    </row>
    <row r="13" spans="1:15" ht="67.5" customHeight="1">
      <c r="A13" s="412" t="s">
        <v>201</v>
      </c>
      <c r="B13" s="412"/>
      <c r="C13" s="412"/>
      <c r="D13" s="413">
        <v>29</v>
      </c>
      <c r="E13" s="413"/>
      <c r="F13" s="413">
        <v>31</v>
      </c>
      <c r="G13" s="413"/>
      <c r="H13" s="413">
        <v>31</v>
      </c>
      <c r="I13" s="413"/>
      <c r="J13" s="413">
        <v>31</v>
      </c>
      <c r="K13" s="413"/>
      <c r="L13" s="414">
        <f t="shared" si="0"/>
        <v>100</v>
      </c>
      <c r="M13" s="414"/>
      <c r="N13" s="414">
        <f t="shared" si="1"/>
        <v>106.89655172413792</v>
      </c>
      <c r="O13" s="414"/>
    </row>
    <row r="14" spans="1:15" ht="24" customHeight="1">
      <c r="A14" s="412" t="s">
        <v>203</v>
      </c>
      <c r="B14" s="412"/>
      <c r="C14" s="412"/>
      <c r="D14" s="413">
        <v>936</v>
      </c>
      <c r="E14" s="413"/>
      <c r="F14" s="413">
        <v>964</v>
      </c>
      <c r="G14" s="413"/>
      <c r="H14" s="413">
        <v>964</v>
      </c>
      <c r="I14" s="413"/>
      <c r="J14" s="415">
        <v>964</v>
      </c>
      <c r="K14" s="415"/>
      <c r="L14" s="414">
        <f t="shared" si="0"/>
        <v>100</v>
      </c>
      <c r="M14" s="414"/>
      <c r="N14" s="414">
        <f t="shared" si="1"/>
        <v>102.99145299145297</v>
      </c>
      <c r="O14" s="414"/>
    </row>
    <row r="15" spans="1:15" ht="67.5" customHeight="1">
      <c r="A15" s="408" t="s">
        <v>429</v>
      </c>
      <c r="B15" s="408"/>
      <c r="C15" s="408"/>
      <c r="D15" s="416">
        <f>SUM(D16:D18)</f>
        <v>42483.9</v>
      </c>
      <c r="E15" s="416"/>
      <c r="F15" s="416">
        <f>SUM(F16:F18)</f>
        <v>47109</v>
      </c>
      <c r="G15" s="416"/>
      <c r="H15" s="416">
        <f>SUM(H16:H18)</f>
        <v>47617.2</v>
      </c>
      <c r="I15" s="416"/>
      <c r="J15" s="416">
        <f>SUM(J16:J18)</f>
        <v>53756.299999999996</v>
      </c>
      <c r="K15" s="416"/>
      <c r="L15" s="414">
        <f t="shared" si="0"/>
        <v>112.89261023327705</v>
      </c>
      <c r="M15" s="414"/>
      <c r="N15" s="414">
        <f t="shared" si="1"/>
        <v>126.53334557326421</v>
      </c>
      <c r="O15" s="414"/>
    </row>
    <row r="16" spans="1:15" ht="24" customHeight="1">
      <c r="A16" s="412" t="s">
        <v>199</v>
      </c>
      <c r="B16" s="412"/>
      <c r="C16" s="412"/>
      <c r="D16" s="417">
        <v>118.5</v>
      </c>
      <c r="E16" s="417"/>
      <c r="F16" s="418">
        <v>152.9</v>
      </c>
      <c r="G16" s="418"/>
      <c r="H16" s="418">
        <v>152.9</v>
      </c>
      <c r="I16" s="418"/>
      <c r="J16" s="418">
        <v>185.7</v>
      </c>
      <c r="K16" s="418"/>
      <c r="L16" s="414">
        <f t="shared" si="0"/>
        <v>121.4519293655984</v>
      </c>
      <c r="M16" s="414"/>
      <c r="N16" s="414">
        <f t="shared" si="1"/>
        <v>156.70886075949366</v>
      </c>
      <c r="O16" s="414"/>
    </row>
    <row r="17" spans="1:15" ht="67.5" customHeight="1">
      <c r="A17" s="412" t="s">
        <v>201</v>
      </c>
      <c r="B17" s="412"/>
      <c r="C17" s="412"/>
      <c r="D17" s="418">
        <v>1745.6</v>
      </c>
      <c r="E17" s="418"/>
      <c r="F17" s="418">
        <v>1976.7</v>
      </c>
      <c r="G17" s="418"/>
      <c r="H17" s="418">
        <v>1976.7</v>
      </c>
      <c r="I17" s="418"/>
      <c r="J17" s="418">
        <v>2288.5</v>
      </c>
      <c r="K17" s="418"/>
      <c r="L17" s="414">
        <f t="shared" si="0"/>
        <v>115.77376435473263</v>
      </c>
      <c r="M17" s="414"/>
      <c r="N17" s="414">
        <f t="shared" si="1"/>
        <v>131.10105407882676</v>
      </c>
      <c r="O17" s="414"/>
    </row>
    <row r="18" spans="1:15" ht="24" customHeight="1">
      <c r="A18" s="412" t="s">
        <v>203</v>
      </c>
      <c r="B18" s="412"/>
      <c r="C18" s="412"/>
      <c r="D18" s="418">
        <v>40619.8</v>
      </c>
      <c r="E18" s="418"/>
      <c r="F18" s="418">
        <v>44979.4</v>
      </c>
      <c r="G18" s="418"/>
      <c r="H18" s="418">
        <v>45487.6</v>
      </c>
      <c r="I18" s="418"/>
      <c r="J18" s="418">
        <v>51282.1</v>
      </c>
      <c r="K18" s="418"/>
      <c r="L18" s="414">
        <f t="shared" si="0"/>
        <v>112.73863646356371</v>
      </c>
      <c r="M18" s="414"/>
      <c r="N18" s="414">
        <f t="shared" si="1"/>
        <v>126.24902141320243</v>
      </c>
      <c r="O18" s="414"/>
    </row>
    <row r="19" spans="1:15" ht="67.5" customHeight="1">
      <c r="A19" s="408" t="s">
        <v>430</v>
      </c>
      <c r="B19" s="408"/>
      <c r="C19" s="408"/>
      <c r="D19" s="416">
        <f>D20+D21+D22</f>
        <v>42483.9</v>
      </c>
      <c r="E19" s="416"/>
      <c r="F19" s="416">
        <f>F20+F21+F22</f>
        <v>47109</v>
      </c>
      <c r="G19" s="416"/>
      <c r="H19" s="416">
        <f>H20+H21+H22</f>
        <v>47617.2</v>
      </c>
      <c r="I19" s="416"/>
      <c r="J19" s="416">
        <f>J20+J21+J22</f>
        <v>53756.299999999996</v>
      </c>
      <c r="K19" s="416"/>
      <c r="L19" s="414">
        <f t="shared" si="0"/>
        <v>112.89261023327705</v>
      </c>
      <c r="M19" s="414"/>
      <c r="N19" s="414">
        <f t="shared" si="1"/>
        <v>126.53334557326421</v>
      </c>
      <c r="O19" s="414"/>
    </row>
    <row r="20" spans="1:15" ht="24" customHeight="1">
      <c r="A20" s="412" t="s">
        <v>199</v>
      </c>
      <c r="B20" s="412"/>
      <c r="C20" s="412"/>
      <c r="D20" s="417">
        <v>118.5</v>
      </c>
      <c r="E20" s="417"/>
      <c r="F20" s="418">
        <v>152.9</v>
      </c>
      <c r="G20" s="418"/>
      <c r="H20" s="418">
        <v>152.9</v>
      </c>
      <c r="I20" s="418"/>
      <c r="J20" s="418">
        <v>185.7</v>
      </c>
      <c r="K20" s="418"/>
      <c r="L20" s="414">
        <f t="shared" si="0"/>
        <v>121.4519293655984</v>
      </c>
      <c r="M20" s="414"/>
      <c r="N20" s="414">
        <f t="shared" si="1"/>
        <v>156.70886075949366</v>
      </c>
      <c r="O20" s="414"/>
    </row>
    <row r="21" spans="1:15" ht="67.5" customHeight="1">
      <c r="A21" s="412" t="s">
        <v>201</v>
      </c>
      <c r="B21" s="412"/>
      <c r="C21" s="412"/>
      <c r="D21" s="418">
        <v>1745.6</v>
      </c>
      <c r="E21" s="418"/>
      <c r="F21" s="418">
        <v>1976.7</v>
      </c>
      <c r="G21" s="418"/>
      <c r="H21" s="418">
        <v>1976.7</v>
      </c>
      <c r="I21" s="418"/>
      <c r="J21" s="418">
        <v>2288.5</v>
      </c>
      <c r="K21" s="418"/>
      <c r="L21" s="414">
        <f t="shared" si="0"/>
        <v>115.77376435473263</v>
      </c>
      <c r="M21" s="414"/>
      <c r="N21" s="414">
        <f t="shared" si="1"/>
        <v>131.10105407882676</v>
      </c>
      <c r="O21" s="414"/>
    </row>
    <row r="22" spans="1:15" ht="24" customHeight="1">
      <c r="A22" s="412" t="s">
        <v>203</v>
      </c>
      <c r="B22" s="412"/>
      <c r="C22" s="412"/>
      <c r="D22" s="418">
        <v>40619.8</v>
      </c>
      <c r="E22" s="418"/>
      <c r="F22" s="418">
        <v>44979.4</v>
      </c>
      <c r="G22" s="418"/>
      <c r="H22" s="418">
        <v>45487.6</v>
      </c>
      <c r="I22" s="418"/>
      <c r="J22" s="418">
        <v>51282.1</v>
      </c>
      <c r="K22" s="418"/>
      <c r="L22" s="414">
        <f t="shared" si="0"/>
        <v>112.73863646356371</v>
      </c>
      <c r="M22" s="414"/>
      <c r="N22" s="414">
        <f t="shared" si="1"/>
        <v>126.24902141320243</v>
      </c>
      <c r="O22" s="414"/>
    </row>
    <row r="23" spans="1:15" ht="111" customHeight="1">
      <c r="A23" s="408" t="s">
        <v>431</v>
      </c>
      <c r="B23" s="408"/>
      <c r="C23" s="408"/>
      <c r="D23" s="419">
        <f>D19/D11/12*1000</f>
        <v>3664.9327122153213</v>
      </c>
      <c r="E23" s="419"/>
      <c r="F23" s="420">
        <f>F15/F11/12*1000</f>
        <v>3941.516064257028</v>
      </c>
      <c r="G23" s="420"/>
      <c r="H23" s="420">
        <f>H15/H11/12*1000</f>
        <v>3984.036144578313</v>
      </c>
      <c r="I23" s="420"/>
      <c r="J23" s="420">
        <f>J15/J11/12*1000</f>
        <v>4497.682396251674</v>
      </c>
      <c r="K23" s="420"/>
      <c r="L23" s="414">
        <f t="shared" si="0"/>
        <v>112.89261023327708</v>
      </c>
      <c r="M23" s="414"/>
      <c r="N23" s="414">
        <f t="shared" si="1"/>
        <v>122.72210022467192</v>
      </c>
      <c r="O23" s="414"/>
    </row>
    <row r="24" spans="1:15" ht="24" customHeight="1">
      <c r="A24" s="412" t="s">
        <v>199</v>
      </c>
      <c r="B24" s="412"/>
      <c r="C24" s="412"/>
      <c r="D24" s="420">
        <f>D16/1/12*1000</f>
        <v>9875</v>
      </c>
      <c r="E24" s="420"/>
      <c r="F24" s="420">
        <f>F16/1/12*1000</f>
        <v>12741.666666666668</v>
      </c>
      <c r="G24" s="420"/>
      <c r="H24" s="420">
        <f>H16/1/12*1000</f>
        <v>12741.666666666668</v>
      </c>
      <c r="I24" s="420"/>
      <c r="J24" s="420">
        <f>J16/1/12*1000</f>
        <v>15475</v>
      </c>
      <c r="K24" s="420"/>
      <c r="L24" s="414">
        <f t="shared" si="0"/>
        <v>121.4519293655984</v>
      </c>
      <c r="M24" s="414"/>
      <c r="N24" s="414">
        <f t="shared" si="1"/>
        <v>156.70886075949366</v>
      </c>
      <c r="O24" s="414"/>
    </row>
    <row r="25" spans="1:15" ht="67.5" customHeight="1">
      <c r="A25" s="412" t="s">
        <v>201</v>
      </c>
      <c r="B25" s="412"/>
      <c r="C25" s="412"/>
      <c r="D25" s="420">
        <f>D17/D13/12*1000</f>
        <v>5016.091954022988</v>
      </c>
      <c r="E25" s="420"/>
      <c r="F25" s="420">
        <f>F17/F13/12*1000</f>
        <v>5313.709677419354</v>
      </c>
      <c r="G25" s="420"/>
      <c r="H25" s="420">
        <f>H17/H13/12*1000</f>
        <v>5313.709677419354</v>
      </c>
      <c r="I25" s="420"/>
      <c r="J25" s="420">
        <f>J17/J13/12*1000</f>
        <v>6151.881720430108</v>
      </c>
      <c r="K25" s="420"/>
      <c r="L25" s="414">
        <f t="shared" si="0"/>
        <v>115.77376435473266</v>
      </c>
      <c r="M25" s="414"/>
      <c r="N25" s="414">
        <f t="shared" si="1"/>
        <v>122.64292155761215</v>
      </c>
      <c r="O25" s="414"/>
    </row>
    <row r="26" spans="1:15" ht="24" customHeight="1">
      <c r="A26" s="412" t="s">
        <v>203</v>
      </c>
      <c r="B26" s="412"/>
      <c r="C26" s="412"/>
      <c r="D26" s="420">
        <f>D18/D14/12*1000</f>
        <v>3616.4351851851857</v>
      </c>
      <c r="E26" s="420"/>
      <c r="F26" s="420">
        <f>F18/F14/12*1000</f>
        <v>3888.2607192254495</v>
      </c>
      <c r="G26" s="420"/>
      <c r="H26" s="420">
        <f>H18/H14/12*1000</f>
        <v>3932.1922544951594</v>
      </c>
      <c r="I26" s="420"/>
      <c r="J26" s="420">
        <f>J18/J14/12*1000</f>
        <v>4433.099930843707</v>
      </c>
      <c r="K26" s="420"/>
      <c r="L26" s="414">
        <f t="shared" si="0"/>
        <v>112.73863646356368</v>
      </c>
      <c r="M26" s="414"/>
      <c r="N26" s="414">
        <f t="shared" si="1"/>
        <v>122.58203738875255</v>
      </c>
      <c r="O26" s="414"/>
    </row>
    <row r="27" spans="1:15" ht="23.25">
      <c r="A27" s="339"/>
      <c r="B27" s="339"/>
      <c r="C27" s="339"/>
      <c r="D27" s="340"/>
      <c r="E27" s="340"/>
      <c r="F27" s="340"/>
      <c r="G27" s="340"/>
      <c r="H27" s="340"/>
      <c r="I27" s="340"/>
      <c r="J27" s="340"/>
      <c r="K27" s="340"/>
      <c r="L27" s="340"/>
      <c r="M27" s="340"/>
      <c r="N27" s="340"/>
      <c r="O27" s="340"/>
    </row>
    <row r="28" spans="1:15" ht="132.75" customHeight="1">
      <c r="A28" s="421" t="s">
        <v>432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</row>
  </sheetData>
  <sheetProtection selectLockedCells="1" selectUnlockedCells="1"/>
  <mergeCells count="133">
    <mergeCell ref="A28:O28"/>
    <mergeCell ref="N25:O25"/>
    <mergeCell ref="A26:C26"/>
    <mergeCell ref="D26:E26"/>
    <mergeCell ref="F26:G26"/>
    <mergeCell ref="H26:I26"/>
    <mergeCell ref="J26:K26"/>
    <mergeCell ref="L26:M26"/>
    <mergeCell ref="N26:O26"/>
    <mergeCell ref="A25:C25"/>
    <mergeCell ref="D25:E25"/>
    <mergeCell ref="F25:G25"/>
    <mergeCell ref="H25:I25"/>
    <mergeCell ref="J25:K25"/>
    <mergeCell ref="L25:M25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F23:G23"/>
    <mergeCell ref="H23:I23"/>
    <mergeCell ref="J23:K23"/>
    <mergeCell ref="L23:M23"/>
    <mergeCell ref="N21:O21"/>
    <mergeCell ref="A22:C22"/>
    <mergeCell ref="D22:E22"/>
    <mergeCell ref="F22:G22"/>
    <mergeCell ref="H22:I22"/>
    <mergeCell ref="J22:K22"/>
    <mergeCell ref="L22:M22"/>
    <mergeCell ref="N22:O22"/>
    <mergeCell ref="A21:C21"/>
    <mergeCell ref="D21:E21"/>
    <mergeCell ref="F21:G21"/>
    <mergeCell ref="H21:I21"/>
    <mergeCell ref="J21:K21"/>
    <mergeCell ref="L21:M21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D19:E19"/>
    <mergeCell ref="F19:G19"/>
    <mergeCell ref="H19:I19"/>
    <mergeCell ref="J19:K19"/>
    <mergeCell ref="L19:M19"/>
    <mergeCell ref="N17:O17"/>
    <mergeCell ref="A18:C18"/>
    <mergeCell ref="D18:E18"/>
    <mergeCell ref="F18:G18"/>
    <mergeCell ref="H18:I18"/>
    <mergeCell ref="J18:K18"/>
    <mergeCell ref="L18:M18"/>
    <mergeCell ref="N18:O18"/>
    <mergeCell ref="A17:C17"/>
    <mergeCell ref="D17:E17"/>
    <mergeCell ref="F17:G17"/>
    <mergeCell ref="H17:I17"/>
    <mergeCell ref="J17:K17"/>
    <mergeCell ref="L17:M17"/>
    <mergeCell ref="N15:O15"/>
    <mergeCell ref="A16:C16"/>
    <mergeCell ref="D16:E16"/>
    <mergeCell ref="F16:G16"/>
    <mergeCell ref="H16:I16"/>
    <mergeCell ref="J16:K16"/>
    <mergeCell ref="L16:M16"/>
    <mergeCell ref="N16:O16"/>
    <mergeCell ref="A15:C15"/>
    <mergeCell ref="D15:E15"/>
    <mergeCell ref="F15:G15"/>
    <mergeCell ref="H15:I15"/>
    <mergeCell ref="J15:K15"/>
    <mergeCell ref="L15:M15"/>
    <mergeCell ref="N13:O13"/>
    <mergeCell ref="A14:C14"/>
    <mergeCell ref="D14:E14"/>
    <mergeCell ref="F14:G14"/>
    <mergeCell ref="H14:I14"/>
    <mergeCell ref="J14:K14"/>
    <mergeCell ref="L14:M14"/>
    <mergeCell ref="N14:O14"/>
    <mergeCell ref="A13:C13"/>
    <mergeCell ref="D13:E13"/>
    <mergeCell ref="F13:G13"/>
    <mergeCell ref="H13:I13"/>
    <mergeCell ref="J13:K13"/>
    <mergeCell ref="L13:M13"/>
    <mergeCell ref="N11:O11"/>
    <mergeCell ref="A12:C12"/>
    <mergeCell ref="D12:E12"/>
    <mergeCell ref="F12:G12"/>
    <mergeCell ref="H12:I12"/>
    <mergeCell ref="J12:K12"/>
    <mergeCell ref="L12:M12"/>
    <mergeCell ref="N12:O12"/>
    <mergeCell ref="A11:C11"/>
    <mergeCell ref="D11:E11"/>
    <mergeCell ref="F11:G11"/>
    <mergeCell ref="H11:I11"/>
    <mergeCell ref="J11:K11"/>
    <mergeCell ref="L11:M11"/>
    <mergeCell ref="N9:O9"/>
    <mergeCell ref="A10:C10"/>
    <mergeCell ref="D10:E10"/>
    <mergeCell ref="F10:G10"/>
    <mergeCell ref="H10:I10"/>
    <mergeCell ref="J10:K10"/>
    <mergeCell ref="L10:M10"/>
    <mergeCell ref="N10:O10"/>
    <mergeCell ref="A9:C9"/>
    <mergeCell ref="D9:E9"/>
    <mergeCell ref="F9:G9"/>
    <mergeCell ref="H9:I9"/>
    <mergeCell ref="J9:K9"/>
    <mergeCell ref="L9:M9"/>
    <mergeCell ref="A1:O1"/>
    <mergeCell ref="A2:O2"/>
    <mergeCell ref="A3:O3"/>
    <mergeCell ref="A4:O4"/>
    <mergeCell ref="A5:O5"/>
    <mergeCell ref="A7:O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dcterms:modified xsi:type="dcterms:W3CDTF">2019-10-16T08:29:53Z</dcterms:modified>
  <cp:category/>
  <cp:version/>
  <cp:contentType/>
  <cp:contentStatus/>
</cp:coreProperties>
</file>