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Осн. фін. пок." sheetId="1" r:id="rId1"/>
    <sheet name="18" sheetId="2" r:id="rId2"/>
    <sheet name="Лист2" sheetId="3" r:id="rId3"/>
    <sheet name="Лист3" sheetId="4" r:id="rId4"/>
    <sheet name="Лист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2" hidden="1">'Лист2'!$A$5:$K$171</definedName>
    <definedName name="_xlnm.Print_Titles" localSheetId="0">'Осн. фін. пок.'!$27:$29</definedName>
    <definedName name="_xlnm._FilterDatabase" localSheetId="0" hidden="1">'Осн. фін. пок.'!$A$29:$S$187</definedName>
    <definedName name="aa">(NA(),NA())</definedName>
    <definedName name="ad">NA()</definedName>
    <definedName name="as">NA()</definedName>
    <definedName name="asdf">NA()</definedName>
    <definedName name="asdfg">NA()</definedName>
    <definedName name="BuiltIn_Print_Area___1___1">NA()</definedName>
    <definedName name="ClDate">'[1]Inform'!$E$6</definedName>
    <definedName name="ClDate_21">NA()</definedName>
    <definedName name="ClDate_25">NA()</definedName>
    <definedName name="ClDate_6">'[2]Inform'!$E$6</definedName>
    <definedName name="CompName">'[1]Inform'!$F$2</definedName>
    <definedName name="CompNameE">'[1]Inform'!$G$2</definedName>
    <definedName name="CompNameE_21">NA()</definedName>
    <definedName name="CompNameE_25">NA()</definedName>
    <definedName name="CompNameE_6">'[2]Inform'!$G$2</definedName>
    <definedName name="CompName_21">NA()</definedName>
    <definedName name="CompName_25">NA()</definedName>
    <definedName name="CompName_6">'[2]Inform'!$F$2</definedName>
    <definedName name="Cost_Category_National_ID">NA()</definedName>
    <definedName name="Cе511">NA()</definedName>
    <definedName name="d">NA()</definedName>
    <definedName name="dCPIb">NA()</definedName>
    <definedName name="dPPIb">NA()</definedName>
    <definedName name="ds">NA()</definedName>
    <definedName name="Excel_BuiltIn_Database">NA()</definedName>
    <definedName name="Fact_Type_ID">NA()</definedName>
    <definedName name="G">NA()</definedName>
    <definedName name="ij1sssss">NA()</definedName>
    <definedName name="LastItem">'[3]Лист1'!$A$1</definedName>
    <definedName name="Load">NA()</definedName>
    <definedName name="Load_ID">'[4]МТР Газ України'!$B$4</definedName>
    <definedName name="Load_ID_10">'[5]7  Інші витрати'!#REF!</definedName>
    <definedName name="Load_ID_11">'[6]МТР Газ України'!$B$4</definedName>
    <definedName name="Load_ID_12">'[6]МТР Газ України'!$B$4</definedName>
    <definedName name="Load_ID_13">'[6]МТР Газ України'!$B$4</definedName>
    <definedName name="Load_ID_14">'[6]МТР Газ України'!$B$4</definedName>
    <definedName name="Load_ID_15">'[6]МТР Газ України'!$B$4</definedName>
    <definedName name="Load_ID_16">'[6]МТР Газ України'!$B$4</definedName>
    <definedName name="Load_ID_17">'[6]МТР Газ України'!$B$4</definedName>
    <definedName name="Load_ID_18">'[7]МТР Газ України'!$B$4</definedName>
    <definedName name="Load_ID_19">'[8]МТР Газ України'!$B$4</definedName>
    <definedName name="Load_ID_20">'[7]МТР Газ України'!$B$4</definedName>
    <definedName name="Load_ID_200">NA()</definedName>
    <definedName name="Load_ID_21">NA()</definedName>
    <definedName name="Load_ID_23">'[8]МТР Газ України'!$B$4</definedName>
    <definedName name="Load_ID_25">NA()</definedName>
    <definedName name="Load_ID_542">NA()</definedName>
    <definedName name="Load_ID_6">'[6]МТР Газ України'!$B$4</definedName>
    <definedName name="OpDate">'[1]Inform'!$E$5</definedName>
    <definedName name="OpDate_21">NA()</definedName>
    <definedName name="OpDate_25">NA()</definedName>
    <definedName name="OpDate_6">'[2]Inform'!$E$5</definedName>
    <definedName name="QR">NA()</definedName>
    <definedName name="qw">NA()</definedName>
    <definedName name="qwert">NA()</definedName>
    <definedName name="qwerty">NA()</definedName>
    <definedName name="ShowFil">[3]!ShowFil</definedName>
    <definedName name="SU_ID">NA()</definedName>
    <definedName name="Time_ID">'[4]МТР Газ України'!$B$1</definedName>
    <definedName name="Time_ID0">'[4]МТР Газ України'!$F$1</definedName>
    <definedName name="Time_ID0_10">'[5]7  Інші витрати'!#REF!</definedName>
    <definedName name="Time_ID0_11">'[6]МТР Газ України'!$F$1</definedName>
    <definedName name="Time_ID0_12">'[6]МТР Газ України'!$F$1</definedName>
    <definedName name="Time_ID0_13">'[6]МТР Газ України'!$F$1</definedName>
    <definedName name="Time_ID0_14">'[6]МТР Газ України'!$F$1</definedName>
    <definedName name="Time_ID0_15">'[6]МТР Газ України'!$F$1</definedName>
    <definedName name="Time_ID0_16">'[6]МТР Газ України'!$F$1</definedName>
    <definedName name="Time_ID0_17">'[6]МТР Газ України'!$F$1</definedName>
    <definedName name="Time_ID0_18">'[7]МТР Газ України'!$F$1</definedName>
    <definedName name="Time_ID0_19">'[8]МТР Газ України'!$F$1</definedName>
    <definedName name="Time_ID0_20">'[7]МТР Газ України'!$F$1</definedName>
    <definedName name="Time_ID0_21">NA()</definedName>
    <definedName name="Time_ID0_23">'[8]МТР Газ України'!$F$1</definedName>
    <definedName name="Time_ID0_25">NA()</definedName>
    <definedName name="Time_ID0_6">'[6]МТР Газ України'!$F$1</definedName>
    <definedName name="Time_ID_10">'[5]7  Інші витрати'!#REF!</definedName>
    <definedName name="Time_ID_11">'[6]МТР Газ України'!$B$1</definedName>
    <definedName name="Time_ID_12">'[6]МТР Газ України'!$B$1</definedName>
    <definedName name="Time_ID_13">'[6]МТР Газ України'!$B$1</definedName>
    <definedName name="Time_ID_14">'[6]МТР Газ України'!$B$1</definedName>
    <definedName name="Time_ID_15">'[6]МТР Газ України'!$B$1</definedName>
    <definedName name="Time_ID_16">'[6]МТР Газ України'!$B$1</definedName>
    <definedName name="Time_ID_17">'[6]МТР Газ України'!$B$1</definedName>
    <definedName name="Time_ID_18">'[7]МТР Газ України'!$B$1</definedName>
    <definedName name="Time_ID_19">'[8]МТР Газ України'!$B$1</definedName>
    <definedName name="Time_ID_20">'[7]МТР Газ України'!$B$1</definedName>
    <definedName name="Time_ID_21">NA()</definedName>
    <definedName name="Time_ID_23">'[8]МТР Газ України'!$B$1</definedName>
    <definedName name="Time_ID_25">NA()</definedName>
    <definedName name="Time_ID_6">'[6]МТР Газ України'!$B$1</definedName>
    <definedName name="ttttttt">NA()</definedName>
    <definedName name="Unit">'[1]Inform'!$E$38</definedName>
    <definedName name="Unit_21">NA()</definedName>
    <definedName name="Unit_25">NA()</definedName>
    <definedName name="Unit_6">'[2]Inform'!$E$38</definedName>
    <definedName name="WQER">NA()</definedName>
    <definedName name="wr">NA()</definedName>
    <definedName name="yyyy">NA()</definedName>
    <definedName name="zx">NA()</definedName>
    <definedName name="zxc">NA()</definedName>
    <definedName name="__123Graph_XGRAPH3">NA()</definedName>
    <definedName name="є">NA()</definedName>
    <definedName name="і">NA()</definedName>
    <definedName name="ів">NA()</definedName>
    <definedName name="ів_22">NA()</definedName>
    <definedName name="ів_26">NA()</definedName>
    <definedName name="ів___0">NA()</definedName>
    <definedName name="івів">NA()</definedName>
    <definedName name="іваіа">'[9]7  Інші витрати'!#REF!</definedName>
    <definedName name="іваф">NA()</definedName>
    <definedName name="іцу">NA()</definedName>
    <definedName name="а">NA()</definedName>
    <definedName name="ав">NA()</definedName>
    <definedName name="аен">NA()</definedName>
    <definedName name="в">NA()</definedName>
    <definedName name="ватт">NA()</definedName>
    <definedName name="Д">NA()</definedName>
    <definedName name="е">NA()</definedName>
    <definedName name="Заголовки_для_печати_МИ">(NA(),NA())</definedName>
    <definedName name="йуц">NA()</definedName>
    <definedName name="йцу">NA()</definedName>
    <definedName name="йцуйй">NA()</definedName>
    <definedName name="йцукц">'[9]7  Інші витрати'!#REF!</definedName>
    <definedName name="КЕ">NA()</definedName>
    <definedName name="КЕ_22">NA()</definedName>
    <definedName name="КЕ_26">NA()</definedName>
    <definedName name="КЕ___0">NA()</definedName>
    <definedName name="кен">NA()</definedName>
    <definedName name="л">NA()</definedName>
    <definedName name="п">NA()</definedName>
    <definedName name="пдв">NA()</definedName>
    <definedName name="пдв_утг">NA()</definedName>
    <definedName name="План">NA()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NA()</definedName>
    <definedName name="ппп">'[10]Inform'!$E$6</definedName>
    <definedName name="р">NA()</definedName>
    <definedName name="т">NA()</definedName>
    <definedName name="тариф">'[11]Inform'!$G$2</definedName>
    <definedName name="уйцукйцуйу">NA()</definedName>
    <definedName name="уке">NA()</definedName>
    <definedName name="УТГ">NA()</definedName>
    <definedName name="фів">NA()</definedName>
    <definedName name="фіваіф">'[9]7  Інші витрати'!#REF!</definedName>
    <definedName name="фф">NA()</definedName>
    <definedName name="ц">NA()</definedName>
    <definedName name="ччч">NA()</definedName>
    <definedName name="ш">NA()</definedName>
    <definedName name="Excel_BuiltIn_Print_Titles" localSheetId="0">'Осн. фін. пок.'!$A$27:$A$29</definedName>
  </definedNames>
  <calcPr fullCalcOnLoad="1"/>
</workbook>
</file>

<file path=xl/sharedStrings.xml><?xml version="1.0" encoding="utf-8"?>
<sst xmlns="http://schemas.openxmlformats.org/spreadsheetml/2006/main" count="692" uniqueCount="451">
  <si>
    <t>Додаток 2</t>
  </si>
  <si>
    <t xml:space="preserve">до Порядку складання, затвердження </t>
  </si>
  <si>
    <t xml:space="preserve">та контролю виконання фінансового плану </t>
  </si>
  <si>
    <t>комунального підпримєства</t>
  </si>
  <si>
    <t>Рік</t>
  </si>
  <si>
    <t>Коди</t>
  </si>
  <si>
    <t>Підприємство  Комунальне підприємство «Міський тролейбус»</t>
  </si>
  <si>
    <t xml:space="preserve">за ЄДРПОУ </t>
  </si>
  <si>
    <t>Організаційно-правова форма   Комунальне підприємство</t>
  </si>
  <si>
    <t>за КОПФГ</t>
  </si>
  <si>
    <t>Територія   Дніпровська</t>
  </si>
  <si>
    <t>за КОАТУУ</t>
  </si>
  <si>
    <r>
      <t xml:space="preserve">Орган управління  </t>
    </r>
    <r>
      <rPr>
        <b/>
        <i/>
        <sz val="12"/>
        <rFont val="Times New Roman"/>
        <family val="1"/>
      </rPr>
      <t xml:space="preserve">  </t>
    </r>
  </si>
  <si>
    <t>за СПОДУ</t>
  </si>
  <si>
    <t xml:space="preserve">Галузь     </t>
  </si>
  <si>
    <t>за ЗКГНГ</t>
  </si>
  <si>
    <t>Вид економічної діяльності    Пасажирський наземний транспорт міського та приміського сполучення</t>
  </si>
  <si>
    <t xml:space="preserve">за  КВЕД  </t>
  </si>
  <si>
    <t>49.31</t>
  </si>
  <si>
    <t>Одиниця виміру, тис. грн Стандарти звітності П(с)БОУ</t>
  </si>
  <si>
    <t>Стандарти звітності П(с)БОУ</t>
  </si>
  <si>
    <t>Форма власності</t>
  </si>
  <si>
    <t>Стандарти звітності МСФЗ</t>
  </si>
  <si>
    <t xml:space="preserve">Середньооблікова кількість штатних працівників </t>
  </si>
  <si>
    <t>Місцезнаходження  вул. Дніпровське шосе буд.22, Довгинцівський р-н,м.Кривий Ріг Дніпропетровська обл.,50086</t>
  </si>
  <si>
    <t>Телефон 409-45-65</t>
  </si>
  <si>
    <t>Прізвище та ініціали керівника  Приходько О.Я.</t>
  </si>
  <si>
    <t>ЗВІТ</t>
  </si>
  <si>
    <t xml:space="preserve">ПРО ВИКОНАННЯ ФІНАНСОВОГО ПЛАНУ ПІДПРИЄМСТВА </t>
  </si>
  <si>
    <r>
      <t xml:space="preserve">за     </t>
    </r>
    <r>
      <rPr>
        <b/>
        <sz val="12"/>
        <color indexed="39"/>
        <rFont val="Times New Roman"/>
        <family val="1"/>
      </rPr>
      <t>Iпівріччя</t>
    </r>
    <r>
      <rPr>
        <b/>
        <sz val="12"/>
        <rFont val=""/>
        <family val="1"/>
      </rPr>
      <t xml:space="preserve">   2019р.</t>
    </r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</si>
  <si>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</si>
  <si>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</si>
  <si>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</si>
  <si>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</si>
  <si>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</si>
  <si>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1 кв 19г</t>
  </si>
  <si>
    <t>2 кв</t>
  </si>
  <si>
    <t>ІІ кв 19г</t>
  </si>
  <si>
    <t>ІIІ кв 19г</t>
  </si>
  <si>
    <t>ІV кв 19г</t>
  </si>
  <si>
    <t>Звітний період (квартал, рік) І півріччя 2019р.</t>
  </si>
  <si>
    <t>1кв 18г</t>
  </si>
  <si>
    <t>2 кв 18г</t>
  </si>
  <si>
    <t>3кв 18г</t>
  </si>
  <si>
    <t>4 кв 18</t>
  </si>
  <si>
    <t>минулий рік16</t>
  </si>
  <si>
    <t>минулий рік17</t>
  </si>
  <si>
    <t>минулий рік18</t>
  </si>
  <si>
    <t>минулий рік18            (1 півріччя)</t>
  </si>
  <si>
    <t>поточний рік  19       (1 півріччя)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</si>
  <si>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</si>
  <si>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</si>
  <si>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</si>
  <si>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</si>
  <si>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</si>
  <si>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</si>
  <si>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Адресна допомога на відшкодування безкоштовного проїзду пасажирів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</si>
  <si>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</si>
  <si>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</si>
  <si>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</si>
  <si>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</si>
  <si>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</si>
  <si>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</si>
  <si>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</si>
  <si>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</si>
  <si>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</si>
  <si>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</si>
  <si>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</si>
  <si>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</si>
  <si>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</si>
  <si>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</si>
  <si>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</si>
  <si>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</si>
  <si>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</si>
  <si>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</si>
  <si>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</si>
  <si>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</si>
  <si>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</si>
  <si>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</si>
  <si>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</si>
  <si>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</si>
  <si>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</si>
  <si>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</si>
  <si>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</si>
  <si>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</si>
  <si>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</si>
  <si>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</si>
  <si>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</si>
  <si>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</si>
  <si>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</si>
  <si>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</si>
  <si>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</si>
  <si>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</si>
  <si>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</si>
  <si>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</si>
  <si>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</si>
  <si>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</si>
  <si>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</si>
  <si>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</si>
  <si>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</si>
  <si>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</si>
  <si>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</si>
  <si>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</si>
  <si>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</si>
  <si>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</si>
  <si>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</si>
  <si>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</si>
  <si>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</si>
  <si>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</si>
  <si>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</si>
  <si>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</si>
  <si>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</si>
  <si>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</si>
  <si>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</si>
  <si>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</si>
  <si>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</si>
  <si>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БУХ ДОД. 12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</si>
  <si>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</si>
  <si>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</si>
  <si>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</si>
  <si>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</si>
  <si>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</si>
  <si>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</si>
  <si>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</si>
  <si>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</si>
  <si>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</si>
  <si>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</si>
  <si>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</si>
  <si>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БУХ РОЗШИФР. СТР. 1625 ФОРМИ №1</t>
  </si>
  <si>
    <t>Усього виплат на користь держави</t>
  </si>
  <si>
    <t xml:space="preserve">IІІ. Рух грошових коштів </t>
  </si>
  <si>
    <r>
      <t>Залишок коштів на початок періоду</t>
    </r>
    <r>
      <rPr>
        <b/>
        <sz val="14"/>
        <color indexed="8"/>
        <rFont val="Times New Roman"/>
        <family val="1"/>
      </rPr>
      <t xml:space="preserve"> </t>
    </r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</si>
  <si>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</si>
  <si>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</si>
  <si>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</si>
  <si>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</si>
  <si>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</si>
  <si>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</si>
  <si>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</si>
  <si>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</si>
  <si>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</si>
  <si>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</si>
  <si>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</si>
  <si>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</si>
  <si>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</si>
  <si>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</si>
  <si>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</si>
  <si>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розробка технічного проекту і конструкторської документації з виготовлення низкопольного тролейбуса</t>
  </si>
  <si>
    <t>розробка та погодження технічних умов на тролейбус низкопольн.</t>
  </si>
  <si>
    <t>розробка, погодження програми приймальних випробувань та виконання приймальних випробувань тролейбуса низькопольного</t>
  </si>
  <si>
    <t>сертифікація виготовленого низькопольного тролейбуса</t>
  </si>
  <si>
    <t>виконання робіт з капітальних та капітально-відновлювальних ремонтів тролейбусів</t>
  </si>
  <si>
    <t xml:space="preserve">Придбання паливно-мастильних матеріалів для роботи тролейбусів з ДГУ (дизель-генераторною установкою) </t>
  </si>
  <si>
    <t>Паливно-мастильні матеріали для  автобусів</t>
  </si>
  <si>
    <t>Оплата електроенергії</t>
  </si>
  <si>
    <t>Оплата водопостачання та водовідведення</t>
  </si>
  <si>
    <t>Придбання  запчастин матеріалів  для виконання поточних ремонтів тролейбусів</t>
  </si>
  <si>
    <t xml:space="preserve">придбання матеріалів, вузлів, агрегатів, кузова для виготовлення (зборки) низькопольного тролейбуса </t>
  </si>
  <si>
    <t>Придбання автошин</t>
  </si>
  <si>
    <t>Придбання  запчастин матеріалів  для виконання поточних ремонтів контактної мережі тролейбуса на окремих ділянках</t>
  </si>
  <si>
    <t>виконання  капітальних та капітально-відновлювальних ремонтів тролейбусів з переобладнанням щодо встановлення електроної системи керування тяговим двигуном та дизель-генераторної установки</t>
  </si>
  <si>
    <t>послуги щодо фінансового лізингу на придбання тролейбусів</t>
  </si>
  <si>
    <t xml:space="preserve">Поповнення статутного капіталу  КП «Міський тролейбус» на придбання обладнання розподільчого пункту 6 кВ та комірок постійного струму тягової підстанциї № 4  КП «Міський тролейбус» </t>
  </si>
  <si>
    <t>Поповнення статутного капіталу  КП «Міський тролейбус» для придбання обладнання, матеріалів та виконання робіт на об’єкті «Технічне переоснащення РУ — 0,4 кВ ТП-000 в структурних підрозділах  КП «Міський тролейбус» адресою: Дніпропетровське шосе, 22, в м. Кривий Ріг, Дніпропетровської обл.”</t>
  </si>
  <si>
    <t>поповнення статутного капіталу на придбання запчастин і матеріалів для реконструкції лінії живлення контактної мережі тролейбуса від тягової підстанції №21</t>
  </si>
  <si>
    <t>Придбання  запчастин,  матеріалів з капітального і капітально-відновлювального ремонту тролейбусів, відновлення каркасів кузовів тролейб.</t>
  </si>
  <si>
    <t xml:space="preserve">Виконання робіт з капітального  ремонту автобусів </t>
  </si>
  <si>
    <t xml:space="preserve">поповнення статутного капіталу на придбання обладнання, матеріалів та виконання робіт на об’єкті «Технічне переоснащення РУ-0,4 кВ ТП-000 в структурних підрозділах КП «Міський тролейбус»  </t>
  </si>
  <si>
    <t>поповнення статутного капіталу на придбання обладнання розподільчого пункту 6 кВ та комірок постійного струму тягової  підстанції №4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</si>
  <si>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</si>
  <si>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</si>
  <si>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</si>
  <si>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</si>
  <si>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</si>
  <si>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</si>
  <si>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</si>
  <si>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</si>
  <si>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</si>
  <si>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</si>
  <si>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</si>
  <si>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</si>
  <si>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</si>
  <si>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</si>
  <si>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</si>
  <si>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</si>
  <si>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</si>
  <si>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</si>
  <si>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</si>
  <si>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</si>
  <si>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</si>
  <si>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</si>
  <si>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</si>
  <si>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</si>
  <si>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</si>
  <si>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</si>
  <si>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</si>
  <si>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</si>
  <si>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</si>
  <si>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</si>
  <si>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</si>
  <si>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</si>
  <si>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</si>
  <si>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</si>
  <si>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</si>
  <si>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</si>
  <si>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</si>
  <si>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</si>
  <si>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</si>
  <si>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</si>
  <si>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</si>
  <si>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</si>
  <si>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</si>
  <si>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</si>
  <si>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</si>
  <si>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</si>
  <si>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</si>
  <si>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</si>
  <si>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</si>
  <si>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</si>
  <si>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</si>
  <si>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</si>
  <si>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</si>
  <si>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</si>
  <si>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А.И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</si>
  <si>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</si>
  <si>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</si>
  <si>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</si>
  <si>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</si>
  <si>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</si>
  <si>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>Директор КП «Міський тролейбус»   _____________________________________</t>
  </si>
  <si>
    <t xml:space="preserve">О.Я.Приходько  </t>
  </si>
  <si>
    <t xml:space="preserve">                                                 (посада)</t>
  </si>
  <si>
    <t xml:space="preserve">                (підпис)   (ініціали, прізвище)                   </t>
  </si>
  <si>
    <t xml:space="preserve">Додаток 1   </t>
  </si>
  <si>
    <t xml:space="preserve">до Порядку складання, затвердження та контролю виконання фінансового плану комунального підприємства </t>
  </si>
  <si>
    <t xml:space="preserve">ЗАТВЕРДЖУЮ  </t>
  </si>
  <si>
    <t>Заступник начальника управління благоустрою та житлової політики виконкому Криворізької міськради</t>
  </si>
  <si>
    <t>(посада керівника органу управління підприємством)</t>
  </si>
  <si>
    <t>Терещенко І.В.</t>
  </si>
  <si>
    <t>М. П. (підпис, ініціал, прізвище)</t>
  </si>
  <si>
    <t>дата</t>
  </si>
  <si>
    <t>Одиниця виміру, тис. грн</t>
  </si>
  <si>
    <t>Середньооблікова кількість штатних працівників  972</t>
  </si>
  <si>
    <t>Місцезнаходження  вул. Дніпровське шосе буд.22,Довгинцівський р-н,м.Кривий Ріг Дніпропетровська обл.,50086</t>
  </si>
  <si>
    <t>ФІНАНСОВИЙ ПЛАН ПІДПРИЄМСТВА НА  2017 рік   (зі змінами)</t>
  </si>
  <si>
    <t>Факт 2015 року</t>
  </si>
  <si>
    <t>Фінансовий план 2016 року</t>
  </si>
  <si>
    <t>Прогноз на 2016 рік</t>
  </si>
  <si>
    <t>2017 рік</t>
  </si>
  <si>
    <t>У тому числі за кварталами планового року</t>
  </si>
  <si>
    <t xml:space="preserve">І  </t>
  </si>
  <si>
    <t xml:space="preserve">ІІ  </t>
  </si>
  <si>
    <t xml:space="preserve">ІІІ  </t>
  </si>
  <si>
    <t xml:space="preserve">ІV </t>
  </si>
  <si>
    <t>Чистий доход від реалізації продукції (товарів, робіт, послуг)</t>
  </si>
  <si>
    <t>Адміністративні витрати</t>
  </si>
  <si>
    <t>Інші операційні доходи</t>
  </si>
  <si>
    <t>Доход від участі в капіталі</t>
  </si>
  <si>
    <t>Інші доходи</t>
  </si>
  <si>
    <t>Інші витрати</t>
  </si>
  <si>
    <t>Доход з податку на прибуток</t>
  </si>
  <si>
    <t>Сплата податків та зборів до Державного бюджету України (податкові платежі)</t>
  </si>
  <si>
    <t>Продовження додатка 1</t>
  </si>
  <si>
    <t>Сплата податків та зборів до місцевих бюджетів (податкові платежі), усього, у тому числі</t>
  </si>
  <si>
    <t>податок на доходи фізичних осіб</t>
  </si>
  <si>
    <t>плата за землю</t>
  </si>
  <si>
    <t>податок на прибуток підприємств та фінансових установ комунальної власності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</si>
  <si>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</si>
  <si>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майном, що перебуває в комунальній власності</t>
  </si>
  <si>
    <t>податок на нерухоме майно, відмінне від земельної ділянки</t>
  </si>
  <si>
    <t>інші</t>
  </si>
  <si>
    <t xml:space="preserve">Усього </t>
  </si>
  <si>
    <t>ІІІ. Рух грошових коштів</t>
  </si>
  <si>
    <t>Залишок коштів на початок періоду</t>
  </si>
  <si>
    <t>IV. Капітальні інвестиції</t>
  </si>
  <si>
    <t>Капітальні інвестиції</t>
  </si>
  <si>
    <t>основні засоби</t>
  </si>
  <si>
    <t>гроші та їх еквіваленти</t>
  </si>
  <si>
    <t>Довгострокові зобов'язання й забезпечення</t>
  </si>
  <si>
    <t>Поточні зобов'язання й забезпечення</t>
  </si>
  <si>
    <t>Усього зобов'язання й забезпечення</t>
  </si>
  <si>
    <t>У тому числі державні гранти та субсидії</t>
  </si>
  <si>
    <r>
      <t xml:space="preserve">Середня кількість працівників </t>
    </r>
    <r>
      <rPr>
        <sz val="12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2"/>
        <rFont val="Times New Roman"/>
        <family val="1"/>
      </rPr>
      <t>, у тому числі:</t>
    </r>
  </si>
  <si>
    <t>Середньомісячні витрати на оплату праці одного працівника (грн.), усього, у тому числі:</t>
  </si>
  <si>
    <t xml:space="preserve">Директор КП «Міський тролейбус»   </t>
  </si>
  <si>
    <t>_____________________________</t>
  </si>
  <si>
    <t xml:space="preserve">                  Приходько О.Я.</t>
  </si>
  <si>
    <t>(підпис)</t>
  </si>
  <si>
    <t xml:space="preserve">(ініціал, прізвище)    </t>
  </si>
  <si>
    <t xml:space="preserve">ПОГОДЖЕНО </t>
  </si>
  <si>
    <t xml:space="preserve">Начальник управління економіки  виконкому Криворізької міської ради </t>
  </si>
  <si>
    <t>(посада керівника управління, який розглянув фінансовий план)</t>
  </si>
  <si>
    <t xml:space="preserve">       Підпалько Т.А.</t>
  </si>
  <si>
    <t xml:space="preserve">                              (підпис, ініціал, прізвище)</t>
  </si>
  <si>
    <t>________________________</t>
  </si>
  <si>
    <t>(дата)</t>
  </si>
  <si>
    <t xml:space="preserve">Начальник фінансового управління  виконкому Криворізької міської ради </t>
  </si>
  <si>
    <t xml:space="preserve">       Рожко О.В.</t>
  </si>
  <si>
    <t xml:space="preserve">Начальник управління комунальної власності виконкому </t>
  </si>
  <si>
    <t>Криворізької міської ради</t>
  </si>
  <si>
    <t xml:space="preserve">       Растєгаєва Т.О.</t>
  </si>
  <si>
    <t xml:space="preserve"> Формування фінансових результатів на 2017 рік</t>
  </si>
  <si>
    <t>Фінансовий план     2016 року</t>
  </si>
  <si>
    <t>Плановий 2017 рік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</si>
  <si>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</si>
  <si>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</si>
  <si>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</si>
  <si>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</si>
  <si>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</si>
  <si>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</si>
  <si>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</si>
  <si>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</si>
  <si>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витрати, всього:</t>
  </si>
  <si>
    <t>в т.ч. - податок на землю</t>
  </si>
  <si>
    <t xml:space="preserve">         - плата за воду</t>
  </si>
  <si>
    <t xml:space="preserve">         - податок на воду</t>
  </si>
  <si>
    <t xml:space="preserve">         - вивіз сміття </t>
  </si>
  <si>
    <t xml:space="preserve">         - обслуговування радіотерміналів, комп'ютерів</t>
  </si>
  <si>
    <t xml:space="preserve">         - повірка, ремонт приборів</t>
  </si>
  <si>
    <t xml:space="preserve">          - підготовка кадрів</t>
  </si>
  <si>
    <t xml:space="preserve">          - ремонт тролейбусів</t>
  </si>
  <si>
    <t xml:space="preserve">          - техдокументація</t>
  </si>
  <si>
    <t xml:space="preserve">         - страхування</t>
  </si>
  <si>
    <t xml:space="preserve">         - т/о приборів пожарної сигналізації</t>
  </si>
  <si>
    <t xml:space="preserve">         - т/о тролейбусів,  а/транспорту,  контактної мережі</t>
  </si>
  <si>
    <t xml:space="preserve">         - транспортні послуги</t>
  </si>
  <si>
    <t xml:space="preserve">         - послуги поліклініки</t>
  </si>
  <si>
    <t xml:space="preserve">         - послуги зв'язку</t>
  </si>
  <si>
    <t xml:space="preserve">         - оренда</t>
  </si>
  <si>
    <t xml:space="preserve">         - вихідна допомога</t>
  </si>
  <si>
    <t xml:space="preserve">         - відрядження </t>
  </si>
  <si>
    <t xml:space="preserve">         - ПДВ</t>
  </si>
  <si>
    <t xml:space="preserve">        - оплата лікарняних листів</t>
  </si>
  <si>
    <t xml:space="preserve">        - резерв відпусток</t>
  </si>
  <si>
    <t xml:space="preserve">        - собівартість реалізованої продукції (товарів, робіт, послуг)</t>
  </si>
  <si>
    <t xml:space="preserve">        - інші операційні витрати</t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</si>
  <si>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</si>
  <si>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</si>
  <si>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</si>
  <si>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</si>
  <si>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</si>
  <si>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</si>
  <si>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</si>
  <si>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</si>
  <si>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</si>
  <si>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</si>
  <si>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</si>
  <si>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</si>
  <si>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</si>
  <si>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</si>
  <si>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</si>
  <si>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</si>
  <si>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</si>
  <si>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</si>
  <si>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витрати, всього:</t>
  </si>
  <si>
    <t>в т.ч. - електроенергія</t>
  </si>
  <si>
    <t xml:space="preserve">         - плата на воду</t>
  </si>
  <si>
    <t xml:space="preserve">         - МБП</t>
  </si>
  <si>
    <t xml:space="preserve">         - обслуговування комп'ютерної техніки</t>
  </si>
  <si>
    <t xml:space="preserve">         - ремонт автомобілів </t>
  </si>
  <si>
    <t xml:space="preserve">         - складання  техюдокументації</t>
  </si>
  <si>
    <t xml:space="preserve">         - податок на землю</t>
  </si>
  <si>
    <t xml:space="preserve">         - судовий збір</t>
  </si>
  <si>
    <t xml:space="preserve">         - резерв відпусток</t>
  </si>
  <si>
    <t xml:space="preserve">         - оплата лікарняних</t>
  </si>
  <si>
    <t xml:space="preserve">         - тендер</t>
  </si>
  <si>
    <t xml:space="preserve">         - послуги банку</t>
  </si>
  <si>
    <t xml:space="preserve">        - послуги інтернету</t>
  </si>
  <si>
    <t xml:space="preserve">        - ПДВ</t>
  </si>
  <si>
    <t xml:space="preserve">        - експертна оцінка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</si>
  <si>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</si>
  <si>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</si>
  <si>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</si>
  <si>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</si>
  <si>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</si>
  <si>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</si>
  <si>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</si>
  <si>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фінансова підтримка</t>
  </si>
  <si>
    <t xml:space="preserve">субвенція з державного бюджету (2015р), компенс.з міського бюджету(2016-2017) </t>
  </si>
  <si>
    <t>інші операційні доходи :</t>
  </si>
  <si>
    <t>у т.ч. - доход від здачі металобрухту  та операцій з ТМЦ</t>
  </si>
  <si>
    <t xml:space="preserve">         - реклама</t>
  </si>
  <si>
    <t xml:space="preserve">         - транспортні послуги </t>
  </si>
  <si>
    <t xml:space="preserve">         - оренда  </t>
  </si>
  <si>
    <t xml:space="preserve">         - виконані роботи</t>
  </si>
  <si>
    <t xml:space="preserve">         - послуги по передачі електроенергії</t>
  </si>
  <si>
    <t xml:space="preserve">         - послуги по передачі води, стоків</t>
  </si>
  <si>
    <t xml:space="preserve">         - послуги передрейсового медогляду</t>
  </si>
  <si>
    <t xml:space="preserve">         - спецодяг</t>
  </si>
  <si>
    <t xml:space="preserve">         - відшкодування за телефонні розмови</t>
  </si>
  <si>
    <t xml:space="preserve">         - за матеріальний ущерб </t>
  </si>
  <si>
    <t xml:space="preserve">         - доход від спільного користування електричними мережами</t>
  </si>
  <si>
    <t xml:space="preserve">         - доход за простой тролейбуса</t>
  </si>
  <si>
    <t xml:space="preserve">         - доход від відшкодування за службові посвідчення </t>
  </si>
  <si>
    <t xml:space="preserve">         - відшкодування по земельному податку </t>
  </si>
  <si>
    <t xml:space="preserve">         - компенсація середньої заробітної плати призван.під час мобілізації   </t>
  </si>
  <si>
    <t xml:space="preserve">         - штрафи, пені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</si>
  <si>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</si>
  <si>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</si>
  <si>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</si>
  <si>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</si>
  <si>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</si>
  <si>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витрати:</t>
  </si>
  <si>
    <t>в т.ч. - матеріали,  ПММ</t>
  </si>
  <si>
    <t xml:space="preserve">         - амортизація</t>
  </si>
  <si>
    <t xml:space="preserve">         - фонд оплати праці</t>
  </si>
  <si>
    <t xml:space="preserve">         - відрахування на соціальні заходи</t>
  </si>
  <si>
    <t xml:space="preserve">         - за нестворення робочих місць для інвалідів</t>
  </si>
  <si>
    <t xml:space="preserve">         - ритуальні послуги</t>
  </si>
  <si>
    <t xml:space="preserve">         - відшкодування матеріального збитку</t>
  </si>
  <si>
    <t xml:space="preserve">         - пільгова пенсія</t>
  </si>
  <si>
    <t xml:space="preserve">         - нестачі і втрати від порчі</t>
  </si>
  <si>
    <t xml:space="preserve">         - відрахування профкому</t>
  </si>
  <si>
    <t xml:space="preserve">         - членські внески в корпорацію</t>
  </si>
  <si>
    <t xml:space="preserve">         - проведення моніторингу ЖКГ</t>
  </si>
  <si>
    <t xml:space="preserve">         - матеріальна допомога на поховання </t>
  </si>
  <si>
    <t xml:space="preserve">         - інші послуги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</si>
  <si>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</si>
  <si>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</si>
  <si>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</si>
  <si>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 % за кредит банку)</t>
  </si>
  <si>
    <t>інші доходи (амортизація на безкоштовно отримані активи)</t>
  </si>
  <si>
    <t>інші витрати (розшифрувати)</t>
  </si>
  <si>
    <t>Чистий фінансовий результат, у тому числі:</t>
  </si>
  <si>
    <t xml:space="preserve">прибуток </t>
  </si>
  <si>
    <t>збиток</t>
  </si>
  <si>
    <t>Директор КП «Міський тролейбус» _____________________________________</t>
  </si>
  <si>
    <t>_________________________</t>
  </si>
  <si>
    <t xml:space="preserve">              Приходько О.Я.</t>
  </si>
  <si>
    <t xml:space="preserve">                                (посада)</t>
  </si>
  <si>
    <t xml:space="preserve">               (підпис)</t>
  </si>
  <si>
    <t xml:space="preserve"> (ініціали, прізвище)    </t>
  </si>
  <si>
    <t xml:space="preserve"> Капітальні інвестиції </t>
  </si>
  <si>
    <t>План на 2017 рік (усього)</t>
  </si>
  <si>
    <t>Капітальні інвестиції, усього,
у тому числі:</t>
  </si>
  <si>
    <t>розробка та погодження технічних умов на тролейбус низькопольний</t>
  </si>
  <si>
    <t>сертифікація виготовленого низкопольного тролейбуса</t>
  </si>
  <si>
    <t>роботи по виконанню капітально-відновлювальних ремонтів</t>
  </si>
  <si>
    <t>Інформація</t>
  </si>
  <si>
    <r>
      <t>до фінансового плану на _</t>
    </r>
    <r>
      <rPr>
        <b/>
        <u val="single"/>
        <sz val="18"/>
        <rFont val="Times New Roman"/>
        <family val="1"/>
      </rPr>
      <t xml:space="preserve">2017_ </t>
    </r>
    <r>
      <rPr>
        <b/>
        <sz val="18"/>
        <rFont val="Times New Roman"/>
        <family val="1"/>
      </rPr>
      <t>рік</t>
    </r>
  </si>
  <si>
    <t>КП «Міський тролейбус»</t>
  </si>
  <si>
    <t>(найменування підприємства)</t>
  </si>
  <si>
    <t xml:space="preserve">       Дані про підприємство, персонал та витрати на оплату праці</t>
  </si>
  <si>
    <t xml:space="preserve">Факт 2015 року </t>
  </si>
  <si>
    <t>Фінансовий план
2016 року</t>
  </si>
  <si>
    <t>2017 рік до прогнозу на 2016 рік, %</t>
  </si>
  <si>
    <t>2017рік до факту  2015 року, %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</si>
  <si>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</si>
  <si>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</si>
  <si>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</si>
  <si>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  Збільшення витрат на оплату праці в 2017 році порівняно з прогнозом 2016 року відбудеться за рахунок росту рівня мінімальної заробітної плати (мін.з/плата з 01.12.16р. - 1600грн., з 01.05.17р. - 1684грн.,  з 01.12.17р. - 1762грн.), а в порівнянні з фактом 2015 року збільшення витрат на оплату праці пояснюється збільшенням чисельності  працюючих (у зв'язку з тим, що з березня 2016р. на підприємстві почалося здійснюватися перевезення пасажирів на міському автобусному маршруті №228 ) та ростом рівня мінімальної заробітної плати у 2016р. - 2017р.     </t>
  </si>
</sst>
</file>

<file path=xl/styles.xml><?xml version="1.0" encoding="utf-8"?>
<styleSheet xmlns="http://schemas.openxmlformats.org/spreadsheetml/2006/main">
  <numFmts count="24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#,##0"/>
    <numFmt numFmtId="180" formatCode="#,##0.0"/>
    <numFmt numFmtId="181" formatCode="0.00"/>
    <numFmt numFmtId="182" formatCode="0.0"/>
    <numFmt numFmtId="183" formatCode="0"/>
    <numFmt numFmtId="184" formatCode="_(* #,##0.0_);_(* \(#,##0.0\);_(* \-_);_(@_)"/>
    <numFmt numFmtId="185" formatCode="\ * #,##0\ ;\ * \(#,##0\);\ * &quot;- &quot;;@\ "/>
    <numFmt numFmtId="186" formatCode="_(* #,##0_);_(* \(#,##0\);_(* \-??_);_(@_)"/>
    <numFmt numFmtId="187" formatCode="_(* #,##0.0_);_(* \(#,##0.0\);_(* \-??_);_(@_)"/>
  </numFmts>
  <fonts count="9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4"/>
      <color indexed="21"/>
      <name val="Times New Roman"/>
      <family val="1"/>
    </font>
    <font>
      <sz val="14"/>
      <color indexed="8"/>
      <name val="Times New Roman"/>
      <family val="1"/>
    </font>
    <font>
      <sz val="14"/>
      <color indexed="14"/>
      <name val="Times New Roman"/>
      <family val="1"/>
    </font>
    <font>
      <sz val="14"/>
      <color indexed="39"/>
      <name val="Times New Roman"/>
      <family val="1"/>
    </font>
    <font>
      <sz val="14"/>
      <color indexed="9"/>
      <name val="Times New Roman"/>
      <family val="1"/>
    </font>
    <font>
      <sz val="18"/>
      <name val="Times New Roman"/>
      <family val="1"/>
    </font>
    <font>
      <sz val="18"/>
      <color indexed="21"/>
      <name val="Times New Roman"/>
      <family val="1"/>
    </font>
    <font>
      <sz val="18"/>
      <color indexed="8"/>
      <name val="Times New Roman"/>
      <family val="1"/>
    </font>
    <font>
      <sz val="18"/>
      <color indexed="14"/>
      <name val="Times New Roman"/>
      <family val="1"/>
    </font>
    <font>
      <sz val="18"/>
      <color indexed="39"/>
      <name val="Times New Roman"/>
      <family val="1"/>
    </font>
    <font>
      <sz val="10"/>
      <color indexed="9"/>
      <name val="Arial Cyr"/>
      <family val="2"/>
    </font>
    <font>
      <sz val="10"/>
      <color indexed="39"/>
      <name val="Arial Cyr"/>
      <family val="2"/>
    </font>
    <font>
      <u val="single"/>
      <sz val="18"/>
      <name val="Times New Roman"/>
      <family val="1"/>
    </font>
    <font>
      <b/>
      <i/>
      <sz val="12"/>
      <name val="Times New Roman"/>
      <family val="1"/>
    </font>
    <font>
      <sz val="18"/>
      <color indexed="18"/>
      <name val="Times New Roman"/>
      <family val="1"/>
    </font>
    <font>
      <b/>
      <sz val="18"/>
      <name val="Times New Roman"/>
      <family val="1"/>
    </font>
    <font>
      <b/>
      <sz val="12"/>
      <name val=""/>
      <family val="1"/>
    </font>
    <font>
      <b/>
      <sz val="12"/>
      <color indexed="39"/>
      <name val="Times New Roman"/>
      <family val="1"/>
    </font>
    <font>
      <b/>
      <sz val="18"/>
      <color indexed="21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4"/>
      <name val="Times New Roman"/>
      <family val="1"/>
    </font>
    <font>
      <b/>
      <sz val="18"/>
      <color indexed="39"/>
      <name val="Times New Roman"/>
      <family val="1"/>
    </font>
    <font>
      <sz val="18"/>
      <color indexed="36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39"/>
      <name val="Times New Roman"/>
      <family val="1"/>
    </font>
    <font>
      <b/>
      <sz val="14"/>
      <name val="Times New Roman"/>
      <family val="1"/>
    </font>
    <font>
      <b/>
      <sz val="18"/>
      <color indexed="36"/>
      <name val="Times New Roman"/>
      <family val="1"/>
    </font>
    <font>
      <b/>
      <sz val="18"/>
      <color indexed="18"/>
      <name val="Times New Roman"/>
      <family val="1"/>
    </font>
    <font>
      <b/>
      <sz val="14"/>
      <color indexed="8"/>
      <name val="Times New Roman"/>
      <family val="1"/>
    </font>
    <font>
      <sz val="18"/>
      <color indexed="9"/>
      <name val="Times New Roman"/>
      <family val="1"/>
    </font>
    <font>
      <i/>
      <sz val="18"/>
      <color indexed="9"/>
      <name val="Times New Roman"/>
      <family val="1"/>
    </font>
    <font>
      <i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b/>
      <u val="single"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3" borderId="0" applyNumberFormat="0" applyBorder="0" applyAlignment="0" applyProtection="0"/>
    <xf numFmtId="164" fontId="7" fillId="20" borderId="1" applyNumberFormat="0" applyAlignment="0" applyProtection="0"/>
    <xf numFmtId="164" fontId="8" fillId="21" borderId="2" applyNumberFormat="0" applyAlignment="0" applyProtection="0"/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10" fillId="0" borderId="0" applyNumberFormat="0" applyFill="0" applyBorder="0" applyAlignment="0" applyProtection="0"/>
    <xf numFmtId="167" fontId="11" fillId="0" borderId="0" applyAlignment="0">
      <protection/>
    </xf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8" fillId="22" borderId="7">
      <alignment horizontal="left" vertical="center"/>
      <protection locked="0"/>
    </xf>
    <xf numFmtId="165" fontId="18" fillId="22" borderId="7">
      <alignment horizontal="left" vertical="center"/>
      <protection/>
    </xf>
    <xf numFmtId="168" fontId="18" fillId="22" borderId="7">
      <alignment horizontal="right" vertical="center"/>
      <protection locked="0"/>
    </xf>
    <xf numFmtId="168" fontId="18" fillId="22" borderId="7">
      <alignment horizontal="right" vertical="center"/>
      <protection/>
    </xf>
    <xf numFmtId="168" fontId="19" fillId="22" borderId="7">
      <alignment horizontal="right" vertical="center"/>
      <protection locked="0"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5" fontId="21" fillId="22" borderId="3">
      <alignment horizontal="left" vertical="center"/>
      <protection locked="0"/>
    </xf>
    <xf numFmtId="165" fontId="21" fillId="22" borderId="3">
      <alignment horizontal="left" vertical="center"/>
      <protection/>
    </xf>
    <xf numFmtId="168" fontId="20" fillId="22" borderId="3">
      <alignment horizontal="right" vertical="center"/>
      <protection locked="0"/>
    </xf>
    <xf numFmtId="168" fontId="20" fillId="22" borderId="3">
      <alignment horizontal="right" vertical="center"/>
      <protection/>
    </xf>
    <xf numFmtId="168" fontId="22" fillId="22" borderId="3">
      <alignment horizontal="righ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8" fontId="1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5" fontId="9" fillId="22" borderId="3">
      <alignment horizontal="left" vertical="center"/>
      <protection/>
    </xf>
    <xf numFmtId="165" fontId="23" fillId="22" borderId="3">
      <alignment horizontal="left" vertical="center"/>
      <protection locked="0"/>
    </xf>
    <xf numFmtId="165" fontId="23" fillId="22" borderId="3">
      <alignment horizontal="left" vertical="center"/>
      <protection/>
    </xf>
    <xf numFmtId="165" fontId="24" fillId="22" borderId="3">
      <alignment horizontal="left" vertical="center"/>
      <protection locked="0"/>
    </xf>
    <xf numFmtId="165" fontId="24" fillId="22" borderId="3">
      <alignment horizontal="left" vertical="center"/>
      <protection/>
    </xf>
    <xf numFmtId="168" fontId="23" fillId="22" borderId="3">
      <alignment horizontal="right" vertical="center"/>
      <protection locked="0"/>
    </xf>
    <xf numFmtId="168" fontId="23" fillId="22" borderId="3">
      <alignment horizontal="right" vertical="center"/>
      <protection/>
    </xf>
    <xf numFmtId="168" fontId="25" fillId="22" borderId="3">
      <alignment horizontal="right" vertical="center"/>
      <protection locked="0"/>
    </xf>
    <xf numFmtId="165" fontId="26" fillId="0" borderId="3">
      <alignment horizontal="left" vertical="center"/>
      <protection locked="0"/>
    </xf>
    <xf numFmtId="165" fontId="26" fillId="0" borderId="3">
      <alignment horizontal="left" vertical="center"/>
      <protection/>
    </xf>
    <xf numFmtId="165" fontId="27" fillId="0" borderId="3">
      <alignment horizontal="left" vertical="center"/>
      <protection locked="0"/>
    </xf>
    <xf numFmtId="165" fontId="27" fillId="0" borderId="3">
      <alignment horizontal="left" vertical="center"/>
      <protection/>
    </xf>
    <xf numFmtId="168" fontId="26" fillId="0" borderId="3">
      <alignment horizontal="right" vertical="center"/>
      <protection locked="0"/>
    </xf>
    <xf numFmtId="168" fontId="26" fillId="0" borderId="3">
      <alignment horizontal="right" vertical="center"/>
      <protection/>
    </xf>
    <xf numFmtId="168" fontId="27" fillId="0" borderId="3">
      <alignment horizontal="right" vertical="center"/>
      <protection locked="0"/>
    </xf>
    <xf numFmtId="165" fontId="28" fillId="0" borderId="3">
      <alignment horizontal="left" vertical="center"/>
      <protection locked="0"/>
    </xf>
    <xf numFmtId="165" fontId="28" fillId="0" borderId="3">
      <alignment horizontal="left" vertical="center"/>
      <protection/>
    </xf>
    <xf numFmtId="165" fontId="29" fillId="0" borderId="3">
      <alignment horizontal="left" vertical="center"/>
      <protection locked="0"/>
    </xf>
    <xf numFmtId="165" fontId="29" fillId="0" borderId="3">
      <alignment horizontal="left" vertical="center"/>
      <protection/>
    </xf>
    <xf numFmtId="168" fontId="28" fillId="0" borderId="3">
      <alignment horizontal="right" vertical="center"/>
      <protection locked="0"/>
    </xf>
    <xf numFmtId="168" fontId="28" fillId="0" borderId="3">
      <alignment horizontal="right" vertical="center"/>
      <protection/>
    </xf>
    <xf numFmtId="165" fontId="26" fillId="0" borderId="3">
      <alignment horizontal="left" vertical="center"/>
      <protection locked="0"/>
    </xf>
    <xf numFmtId="165" fontId="27" fillId="0" borderId="3">
      <alignment horizontal="left" vertical="center"/>
      <protection locked="0"/>
    </xf>
    <xf numFmtId="168" fontId="26" fillId="0" borderId="3">
      <alignment horizontal="right" vertical="center"/>
      <protection locked="0"/>
    </xf>
    <xf numFmtId="164" fontId="30" fillId="0" borderId="8" applyNumberFormat="0" applyFill="0" applyAlignment="0" applyProtection="0"/>
    <xf numFmtId="164" fontId="31" fillId="2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Alignment="0">
      <protection locked="0"/>
    </xf>
    <xf numFmtId="164" fontId="0" fillId="24" borderId="9" applyNumberFormat="0" applyAlignment="0" applyProtection="0"/>
    <xf numFmtId="168" fontId="32" fillId="7" borderId="3">
      <alignment horizontal="right" vertical="center"/>
      <protection locked="0"/>
    </xf>
    <xf numFmtId="168" fontId="32" fillId="6" borderId="3">
      <alignment horizontal="right" vertical="center"/>
      <protection locked="0"/>
    </xf>
    <xf numFmtId="168" fontId="32" fillId="20" borderId="3">
      <alignment horizontal="right" vertical="center"/>
      <protection locked="0"/>
    </xf>
    <xf numFmtId="164" fontId="33" fillId="20" borderId="10" applyNumberFormat="0" applyAlignment="0" applyProtection="0"/>
    <xf numFmtId="165" fontId="9" fillId="0" borderId="3">
      <alignment horizontal="left" vertical="center" wrapText="1"/>
      <protection locked="0"/>
    </xf>
    <xf numFmtId="165" fontId="9" fillId="0" borderId="3">
      <alignment horizontal="left" vertical="center" wrapText="1"/>
      <protection locked="0"/>
    </xf>
    <xf numFmtId="164" fontId="34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36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7" fillId="7" borderId="1" applyNumberFormat="0" applyAlignment="0" applyProtection="0"/>
    <xf numFmtId="164" fontId="17" fillId="7" borderId="1" applyNumberFormat="0" applyAlignment="0" applyProtection="0"/>
    <xf numFmtId="164" fontId="38" fillId="20" borderId="10" applyNumberFormat="0" applyAlignment="0" applyProtection="0"/>
    <xf numFmtId="164" fontId="33" fillId="20" borderId="10" applyNumberFormat="0" applyAlignment="0" applyProtection="0"/>
    <xf numFmtId="164" fontId="39" fillId="20" borderId="1" applyNumberFormat="0" applyAlignment="0" applyProtection="0"/>
    <xf numFmtId="164" fontId="7" fillId="20" borderId="1" applyNumberFormat="0" applyAlignment="0" applyProtection="0"/>
    <xf numFmtId="169" fontId="0" fillId="0" borderId="0" applyFill="0" applyBorder="0" applyAlignment="0" applyProtection="0"/>
    <xf numFmtId="164" fontId="40" fillId="0" borderId="4" applyNumberFormat="0" applyFill="0" applyAlignment="0" applyProtection="0"/>
    <xf numFmtId="164" fontId="13" fillId="0" borderId="4" applyNumberFormat="0" applyFill="0" applyAlignment="0" applyProtection="0"/>
    <xf numFmtId="164" fontId="41" fillId="0" borderId="5" applyNumberFormat="0" applyFill="0" applyAlignment="0" applyProtection="0"/>
    <xf numFmtId="164" fontId="14" fillId="0" borderId="5" applyNumberFormat="0" applyFill="0" applyAlignment="0" applyProtection="0"/>
    <xf numFmtId="164" fontId="42" fillId="0" borderId="6" applyNumberFormat="0" applyFill="0" applyAlignment="0" applyProtection="0"/>
    <xf numFmtId="164" fontId="15" fillId="0" borderId="6" applyNumberFormat="0" applyFill="0" applyAlignment="0" applyProtection="0"/>
    <xf numFmtId="164" fontId="4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43" fillId="0" borderId="11" applyNumberFormat="0" applyFill="0" applyAlignment="0" applyProtection="0"/>
    <xf numFmtId="164" fontId="35" fillId="0" borderId="11" applyNumberFormat="0" applyFill="0" applyAlignment="0" applyProtection="0"/>
    <xf numFmtId="164" fontId="44" fillId="21" borderId="2" applyNumberFormat="0" applyAlignment="0" applyProtection="0"/>
    <xf numFmtId="164" fontId="8" fillId="21" borderId="2" applyNumberFormat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45" fillId="23" borderId="0" applyNumberFormat="0" applyBorder="0" applyAlignment="0" applyProtection="0"/>
    <xf numFmtId="164" fontId="31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47" fillId="3" borderId="0" applyNumberFormat="0" applyBorder="0" applyAlignment="0" applyProtection="0"/>
    <xf numFmtId="164" fontId="6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8" applyNumberFormat="0" applyFill="0" applyAlignment="0" applyProtection="0"/>
    <xf numFmtId="164" fontId="30" fillId="0" borderId="8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12" fillId="4" borderId="0" applyNumberFormat="0" applyBorder="0" applyAlignment="0" applyProtection="0"/>
    <xf numFmtId="167" fontId="52" fillId="0" borderId="0">
      <alignment wrapText="1"/>
      <protection/>
    </xf>
    <xf numFmtId="167" fontId="11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</cellStyleXfs>
  <cellXfs count="510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5" fillId="0" borderId="0" xfId="0" applyFont="1" applyFill="1" applyBorder="1" applyAlignment="1">
      <alignment horizontal="center" vertical="center"/>
    </xf>
    <xf numFmtId="164" fontId="56" fillId="22" borderId="0" xfId="0" applyFont="1" applyFill="1" applyBorder="1" applyAlignment="1">
      <alignment horizontal="center" vertical="center"/>
    </xf>
    <xf numFmtId="164" fontId="56" fillId="0" borderId="0" xfId="0" applyFont="1" applyFill="1" applyBorder="1" applyAlignment="1">
      <alignment horizontal="center" vertical="center"/>
    </xf>
    <xf numFmtId="164" fontId="57" fillId="0" borderId="0" xfId="0" applyFont="1" applyFill="1" applyBorder="1" applyAlignment="1">
      <alignment horizontal="center" vertical="center"/>
    </xf>
    <xf numFmtId="164" fontId="58" fillId="25" borderId="0" xfId="0" applyFont="1" applyFill="1" applyBorder="1" applyAlignment="1">
      <alignment horizontal="center" vertical="center"/>
    </xf>
    <xf numFmtId="164" fontId="56" fillId="25" borderId="0" xfId="0" applyFont="1" applyFill="1" applyBorder="1" applyAlignment="1">
      <alignment horizontal="center" vertical="center"/>
    </xf>
    <xf numFmtId="164" fontId="58" fillId="0" borderId="0" xfId="0" applyFont="1" applyFill="1" applyBorder="1" applyAlignment="1">
      <alignment horizontal="center" vertical="center"/>
    </xf>
    <xf numFmtId="164" fontId="59" fillId="0" borderId="0" xfId="0" applyFont="1" applyFill="1" applyBorder="1" applyAlignment="1">
      <alignment vertical="center"/>
    </xf>
    <xf numFmtId="164" fontId="58" fillId="0" borderId="0" xfId="0" applyFont="1" applyFill="1" applyBorder="1" applyAlignment="1">
      <alignment vertical="center"/>
    </xf>
    <xf numFmtId="164" fontId="60" fillId="0" borderId="0" xfId="0" applyFont="1" applyFill="1" applyBorder="1" applyAlignment="1">
      <alignment vertical="center"/>
    </xf>
    <xf numFmtId="164" fontId="60" fillId="0" borderId="0" xfId="0" applyFont="1" applyFill="1" applyBorder="1" applyAlignment="1">
      <alignment horizontal="right" vertical="center"/>
    </xf>
    <xf numFmtId="164" fontId="61" fillId="0" borderId="0" xfId="0" applyFont="1" applyFill="1" applyBorder="1" applyAlignment="1">
      <alignment horizontal="right" vertical="center"/>
    </xf>
    <xf numFmtId="164" fontId="62" fillId="22" borderId="0" xfId="0" applyFont="1" applyFill="1" applyBorder="1" applyAlignment="1">
      <alignment horizontal="right" vertical="center"/>
    </xf>
    <xf numFmtId="164" fontId="62" fillId="0" borderId="0" xfId="0" applyFont="1" applyFill="1" applyBorder="1" applyAlignment="1">
      <alignment horizontal="right" vertical="center"/>
    </xf>
    <xf numFmtId="164" fontId="63" fillId="0" borderId="0" xfId="0" applyFont="1" applyFill="1" applyBorder="1" applyAlignment="1">
      <alignment horizontal="right" vertical="center"/>
    </xf>
    <xf numFmtId="164" fontId="64" fillId="25" borderId="0" xfId="0" applyFont="1" applyFill="1" applyBorder="1" applyAlignment="1">
      <alignment horizontal="right" vertical="center"/>
    </xf>
    <xf numFmtId="164" fontId="62" fillId="25" borderId="0" xfId="0" applyFont="1" applyFill="1" applyBorder="1" applyAlignment="1">
      <alignment horizontal="right" vertical="center"/>
    </xf>
    <xf numFmtId="164" fontId="64" fillId="0" borderId="0" xfId="0" applyFont="1" applyFill="1" applyBorder="1" applyAlignment="1">
      <alignment horizontal="center" vertical="center"/>
    </xf>
    <xf numFmtId="164" fontId="62" fillId="22" borderId="0" xfId="0" applyFont="1" applyFill="1" applyBorder="1" applyAlignment="1">
      <alignment horizontal="left"/>
    </xf>
    <xf numFmtId="164" fontId="65" fillId="0" borderId="0" xfId="0" applyFont="1" applyFill="1" applyAlignment="1">
      <alignment/>
    </xf>
    <xf numFmtId="164" fontId="66" fillId="0" borderId="0" xfId="0" applyFont="1" applyFill="1" applyAlignment="1">
      <alignment/>
    </xf>
    <xf numFmtId="164" fontId="67" fillId="0" borderId="0" xfId="0" applyFont="1" applyFill="1" applyBorder="1" applyAlignment="1">
      <alignment vertical="center"/>
    </xf>
    <xf numFmtId="164" fontId="60" fillId="0" borderId="0" xfId="0" applyFont="1" applyFill="1" applyBorder="1" applyAlignment="1">
      <alignment horizontal="center" vertical="center"/>
    </xf>
    <xf numFmtId="164" fontId="61" fillId="0" borderId="0" xfId="0" applyFont="1" applyFill="1" applyBorder="1" applyAlignment="1">
      <alignment horizontal="center" vertical="center"/>
    </xf>
    <xf numFmtId="164" fontId="62" fillId="22" borderId="0" xfId="0" applyFont="1" applyFill="1" applyBorder="1" applyAlignment="1">
      <alignment horizontal="center" vertical="center"/>
    </xf>
    <xf numFmtId="164" fontId="62" fillId="0" borderId="0" xfId="0" applyFont="1" applyFill="1" applyBorder="1" applyAlignment="1">
      <alignment horizontal="center" vertical="center"/>
    </xf>
    <xf numFmtId="164" fontId="63" fillId="0" borderId="0" xfId="0" applyFont="1" applyFill="1" applyBorder="1" applyAlignment="1">
      <alignment horizontal="center" vertical="center"/>
    </xf>
    <xf numFmtId="164" fontId="64" fillId="25" borderId="0" xfId="0" applyFont="1" applyFill="1" applyBorder="1" applyAlignment="1">
      <alignment horizontal="center" vertical="center"/>
    </xf>
    <xf numFmtId="164" fontId="62" fillId="25" borderId="0" xfId="0" applyFont="1" applyFill="1" applyBorder="1" applyAlignment="1">
      <alignment horizontal="center" vertical="center"/>
    </xf>
    <xf numFmtId="164" fontId="62" fillId="0" borderId="0" xfId="0" applyFont="1" applyFill="1" applyBorder="1" applyAlignment="1">
      <alignment horizontal="left" vertical="center"/>
    </xf>
    <xf numFmtId="164" fontId="60" fillId="0" borderId="0" xfId="0" applyFont="1" applyFill="1" applyAlignment="1">
      <alignment horizontal="center" vertical="center"/>
    </xf>
    <xf numFmtId="164" fontId="61" fillId="0" borderId="0" xfId="0" applyFont="1" applyFill="1" applyAlignment="1">
      <alignment horizontal="center" vertical="center"/>
    </xf>
    <xf numFmtId="164" fontId="62" fillId="22" borderId="0" xfId="0" applyFont="1" applyFill="1" applyAlignment="1">
      <alignment horizontal="center" vertical="center"/>
    </xf>
    <xf numFmtId="164" fontId="62" fillId="0" borderId="0" xfId="0" applyFont="1" applyFill="1" applyAlignment="1">
      <alignment horizontal="center" vertical="center"/>
    </xf>
    <xf numFmtId="164" fontId="63" fillId="0" borderId="0" xfId="0" applyFont="1" applyFill="1" applyAlignment="1">
      <alignment horizontal="center" vertical="center"/>
    </xf>
    <xf numFmtId="164" fontId="64" fillId="25" borderId="0" xfId="0" applyFont="1" applyFill="1" applyAlignment="1">
      <alignment horizontal="center" vertical="center"/>
    </xf>
    <xf numFmtId="164" fontId="62" fillId="25" borderId="0" xfId="0" applyFont="1" applyFill="1" applyAlignment="1">
      <alignment horizontal="center" vertical="center"/>
    </xf>
    <xf numFmtId="164" fontId="62" fillId="0" borderId="0" xfId="0" applyFont="1" applyFill="1" applyBorder="1" applyAlignment="1">
      <alignment horizontal="left" wrapText="1"/>
    </xf>
    <xf numFmtId="164" fontId="60" fillId="0" borderId="12" xfId="0" applyFont="1" applyFill="1" applyBorder="1" applyAlignment="1">
      <alignment vertical="center"/>
    </xf>
    <xf numFmtId="164" fontId="60" fillId="0" borderId="13" xfId="0" applyFont="1" applyFill="1" applyBorder="1" applyAlignment="1">
      <alignment horizontal="left" vertical="center" wrapText="1"/>
    </xf>
    <xf numFmtId="164" fontId="62" fillId="0" borderId="14" xfId="0" applyFont="1" applyFill="1" applyBorder="1" applyAlignment="1">
      <alignment vertical="center"/>
    </xf>
    <xf numFmtId="164" fontId="62" fillId="0" borderId="3" xfId="0" applyFont="1" applyFill="1" applyBorder="1" applyAlignment="1">
      <alignment horizontal="left" vertical="center"/>
    </xf>
    <xf numFmtId="164" fontId="62" fillId="0" borderId="3" xfId="0" applyFont="1" applyFill="1" applyBorder="1" applyAlignment="1">
      <alignment horizontal="center" vertical="center"/>
    </xf>
    <xf numFmtId="164" fontId="60" fillId="0" borderId="12" xfId="0" applyFont="1" applyFill="1" applyBorder="1" applyAlignment="1">
      <alignment horizontal="left" vertical="center" wrapText="1"/>
    </xf>
    <xf numFmtId="164" fontId="62" fillId="0" borderId="3" xfId="0" applyFont="1" applyFill="1" applyBorder="1" applyAlignment="1">
      <alignment vertical="center"/>
    </xf>
    <xf numFmtId="164" fontId="62" fillId="22" borderId="3" xfId="0" applyFont="1" applyFill="1" applyBorder="1" applyAlignment="1">
      <alignment horizontal="center" vertical="center"/>
    </xf>
    <xf numFmtId="164" fontId="60" fillId="22" borderId="0" xfId="0" applyFont="1" applyFill="1" applyBorder="1" applyAlignment="1">
      <alignment horizontal="center" vertical="center" wrapText="1"/>
    </xf>
    <xf numFmtId="164" fontId="61" fillId="22" borderId="0" xfId="0" applyFont="1" applyFill="1" applyBorder="1" applyAlignment="1">
      <alignment horizontal="right" vertical="center" wrapText="1"/>
    </xf>
    <xf numFmtId="164" fontId="62" fillId="22" borderId="0" xfId="0" applyFont="1" applyFill="1" applyBorder="1" applyAlignment="1">
      <alignment horizontal="right" vertical="center" wrapText="1"/>
    </xf>
    <xf numFmtId="164" fontId="63" fillId="22" borderId="0" xfId="0" applyFont="1" applyFill="1" applyBorder="1" applyAlignment="1">
      <alignment horizontal="right" vertical="center" wrapText="1"/>
    </xf>
    <xf numFmtId="164" fontId="64" fillId="25" borderId="0" xfId="0" applyFont="1" applyFill="1" applyBorder="1" applyAlignment="1">
      <alignment horizontal="right" vertical="center" wrapText="1"/>
    </xf>
    <xf numFmtId="164" fontId="62" fillId="25" borderId="0" xfId="0" applyFont="1" applyFill="1" applyBorder="1" applyAlignment="1">
      <alignment horizontal="right" vertical="center" wrapText="1"/>
    </xf>
    <xf numFmtId="164" fontId="64" fillId="22" borderId="0" xfId="0" applyFont="1" applyFill="1" applyBorder="1" applyAlignment="1">
      <alignment horizontal="center" vertical="center" wrapText="1"/>
    </xf>
    <xf numFmtId="164" fontId="62" fillId="0" borderId="14" xfId="0" applyFont="1" applyFill="1" applyBorder="1" applyAlignment="1">
      <alignment horizontal="right" vertical="center"/>
    </xf>
    <xf numFmtId="164" fontId="62" fillId="0" borderId="3" xfId="0" applyFont="1" applyFill="1" applyBorder="1" applyAlignment="1">
      <alignment vertical="center" wrapText="1"/>
    </xf>
    <xf numFmtId="164" fontId="61" fillId="0" borderId="13" xfId="0" applyFont="1" applyFill="1" applyBorder="1" applyAlignment="1">
      <alignment horizontal="left" vertical="center" wrapText="1"/>
    </xf>
    <xf numFmtId="164" fontId="62" fillId="22" borderId="13" xfId="0" applyFont="1" applyFill="1" applyBorder="1" applyAlignment="1">
      <alignment horizontal="left" vertical="center" wrapText="1"/>
    </xf>
    <xf numFmtId="164" fontId="62" fillId="0" borderId="13" xfId="0" applyFont="1" applyFill="1" applyBorder="1" applyAlignment="1">
      <alignment horizontal="left" vertical="center" wrapText="1"/>
    </xf>
    <xf numFmtId="164" fontId="63" fillId="0" borderId="13" xfId="0" applyFont="1" applyFill="1" applyBorder="1" applyAlignment="1">
      <alignment horizontal="left" vertical="center" wrapText="1"/>
    </xf>
    <xf numFmtId="164" fontId="64" fillId="25" borderId="13" xfId="0" applyFont="1" applyFill="1" applyBorder="1" applyAlignment="1">
      <alignment horizontal="left" vertical="center" wrapText="1"/>
    </xf>
    <xf numFmtId="164" fontId="62" fillId="25" borderId="13" xfId="0" applyFont="1" applyFill="1" applyBorder="1" applyAlignment="1">
      <alignment horizontal="left" vertical="center" wrapText="1"/>
    </xf>
    <xf numFmtId="164" fontId="64" fillId="0" borderId="13" xfId="0" applyFont="1" applyFill="1" applyBorder="1" applyAlignment="1">
      <alignment horizontal="center" vertical="center" wrapText="1"/>
    </xf>
    <xf numFmtId="164" fontId="64" fillId="22" borderId="12" xfId="0" applyFont="1" applyFill="1" applyBorder="1" applyAlignment="1">
      <alignment horizontal="left" vertical="center" wrapText="1"/>
    </xf>
    <xf numFmtId="179" fontId="69" fillId="22" borderId="13" xfId="0" applyNumberFormat="1" applyFont="1" applyFill="1" applyBorder="1" applyAlignment="1">
      <alignment horizontal="left" vertical="center" wrapText="1"/>
    </xf>
    <xf numFmtId="164" fontId="62" fillId="22" borderId="13" xfId="0" applyFont="1" applyFill="1" applyBorder="1" applyAlignment="1">
      <alignment vertical="center" wrapText="1"/>
    </xf>
    <xf numFmtId="164" fontId="59" fillId="22" borderId="0" xfId="0" applyFont="1" applyFill="1" applyBorder="1" applyAlignment="1">
      <alignment vertical="center"/>
    </xf>
    <xf numFmtId="164" fontId="58" fillId="22" borderId="0" xfId="0" applyFont="1" applyFill="1" applyBorder="1" applyAlignment="1">
      <alignment vertical="center"/>
    </xf>
    <xf numFmtId="164" fontId="54" fillId="22" borderId="0" xfId="0" applyFont="1" applyFill="1" applyBorder="1" applyAlignment="1">
      <alignment vertical="center"/>
    </xf>
    <xf numFmtId="164" fontId="62" fillId="0" borderId="13" xfId="0" applyFont="1" applyFill="1" applyBorder="1" applyAlignment="1">
      <alignment vertical="center"/>
    </xf>
    <xf numFmtId="164" fontId="62" fillId="0" borderId="13" xfId="0" applyFont="1" applyFill="1" applyBorder="1" applyAlignment="1">
      <alignment vertical="center" wrapText="1"/>
    </xf>
    <xf numFmtId="164" fontId="60" fillId="0" borderId="0" xfId="0" applyFont="1" applyFill="1" applyBorder="1" applyAlignment="1">
      <alignment horizontal="left" vertical="center"/>
    </xf>
    <xf numFmtId="164" fontId="61" fillId="0" borderId="0" xfId="0" applyFont="1" applyFill="1" applyBorder="1" applyAlignment="1">
      <alignment vertical="center"/>
    </xf>
    <xf numFmtId="164" fontId="62" fillId="22" borderId="0" xfId="0" applyFont="1" applyFill="1" applyBorder="1" applyAlignment="1">
      <alignment vertical="center"/>
    </xf>
    <xf numFmtId="164" fontId="62" fillId="0" borderId="0" xfId="0" applyFont="1" applyFill="1" applyBorder="1" applyAlignment="1">
      <alignment vertical="center"/>
    </xf>
    <xf numFmtId="164" fontId="63" fillId="0" borderId="0" xfId="0" applyFont="1" applyFill="1" applyBorder="1" applyAlignment="1">
      <alignment vertical="center"/>
    </xf>
    <xf numFmtId="164" fontId="64" fillId="25" borderId="0" xfId="0" applyFont="1" applyFill="1" applyBorder="1" applyAlignment="1">
      <alignment vertical="center"/>
    </xf>
    <xf numFmtId="164" fontId="62" fillId="25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64" fontId="71" fillId="22" borderId="0" xfId="0" applyFont="1" applyFill="1" applyBorder="1" applyAlignment="1">
      <alignment horizontal="center" vertical="center"/>
    </xf>
    <xf numFmtId="164" fontId="73" fillId="0" borderId="0" xfId="0" applyFont="1" applyFill="1" applyBorder="1" applyAlignment="1">
      <alignment horizontal="center" vertical="center"/>
    </xf>
    <xf numFmtId="164" fontId="74" fillId="22" borderId="0" xfId="0" applyFont="1" applyFill="1" applyBorder="1" applyAlignment="1">
      <alignment horizontal="center" vertical="center"/>
    </xf>
    <xf numFmtId="164" fontId="74" fillId="0" borderId="0" xfId="0" applyFont="1" applyFill="1" applyBorder="1" applyAlignment="1">
      <alignment horizontal="center" vertical="center"/>
    </xf>
    <xf numFmtId="164" fontId="75" fillId="0" borderId="0" xfId="0" applyFont="1" applyFill="1" applyBorder="1" applyAlignment="1">
      <alignment horizontal="center" vertical="center"/>
    </xf>
    <xf numFmtId="164" fontId="76" fillId="25" borderId="0" xfId="0" applyFont="1" applyFill="1" applyBorder="1" applyAlignment="1">
      <alignment horizontal="center" vertical="center"/>
    </xf>
    <xf numFmtId="164" fontId="74" fillId="25" borderId="0" xfId="0" applyFont="1" applyFill="1" applyBorder="1" applyAlignment="1">
      <alignment horizontal="center" vertical="center"/>
    </xf>
    <xf numFmtId="164" fontId="76" fillId="0" borderId="0" xfId="0" applyFont="1" applyFill="1" applyBorder="1" applyAlignment="1">
      <alignment horizontal="center" vertical="center"/>
    </xf>
    <xf numFmtId="164" fontId="60" fillId="0" borderId="0" xfId="0" applyFont="1" applyFill="1" applyAlignment="1">
      <alignment horizontal="left" vertical="center"/>
    </xf>
    <xf numFmtId="164" fontId="61" fillId="0" borderId="0" xfId="0" applyFont="1" applyFill="1" applyAlignment="1">
      <alignment horizontal="left" vertical="center"/>
    </xf>
    <xf numFmtId="164" fontId="62" fillId="22" borderId="0" xfId="0" applyFont="1" applyFill="1" applyAlignment="1">
      <alignment horizontal="left" vertical="center"/>
    </xf>
    <xf numFmtId="164" fontId="62" fillId="0" borderId="0" xfId="0" applyFont="1" applyFill="1" applyAlignment="1">
      <alignment horizontal="left" vertical="center"/>
    </xf>
    <xf numFmtId="164" fontId="63" fillId="0" borderId="0" xfId="0" applyFont="1" applyFill="1" applyAlignment="1">
      <alignment horizontal="left" vertical="center"/>
    </xf>
    <xf numFmtId="164" fontId="64" fillId="25" borderId="0" xfId="0" applyFont="1" applyFill="1" applyAlignment="1">
      <alignment horizontal="left" vertical="center"/>
    </xf>
    <xf numFmtId="164" fontId="62" fillId="25" borderId="0" xfId="0" applyFont="1" applyFill="1" applyAlignment="1">
      <alignment horizontal="left" vertical="center"/>
    </xf>
    <xf numFmtId="164" fontId="64" fillId="0" borderId="0" xfId="0" applyFont="1" applyFill="1" applyAlignment="1">
      <alignment horizontal="center" vertical="center"/>
    </xf>
    <xf numFmtId="164" fontId="60" fillId="0" borderId="3" xfId="0" applyFont="1" applyFill="1" applyBorder="1" applyAlignment="1">
      <alignment horizontal="center" vertical="center"/>
    </xf>
    <xf numFmtId="164" fontId="60" fillId="0" borderId="3" xfId="0" applyFont="1" applyFill="1" applyBorder="1" applyAlignment="1">
      <alignment horizontal="center" vertical="center" wrapText="1"/>
    </xf>
    <xf numFmtId="164" fontId="62" fillId="0" borderId="3" xfId="0" applyFont="1" applyFill="1" applyBorder="1" applyAlignment="1">
      <alignment horizontal="center" vertical="center" wrapText="1"/>
    </xf>
    <xf numFmtId="164" fontId="64" fillId="25" borderId="3" xfId="0" applyFont="1" applyFill="1" applyBorder="1" applyAlignment="1">
      <alignment horizontal="center" vertical="top" wrapText="1"/>
    </xf>
    <xf numFmtId="164" fontId="64" fillId="0" borderId="3" xfId="264" applyFont="1" applyFill="1" applyBorder="1" applyAlignment="1">
      <alignment horizontal="center" vertical="center" wrapText="1"/>
      <protection/>
    </xf>
    <xf numFmtId="164" fontId="64" fillId="0" borderId="3" xfId="264" applyFont="1" applyFill="1" applyBorder="1" applyAlignment="1">
      <alignment horizontal="center" vertical="top"/>
      <protection/>
    </xf>
    <xf numFmtId="164" fontId="65" fillId="0" borderId="0" xfId="0" applyFont="1" applyAlignment="1">
      <alignment/>
    </xf>
    <xf numFmtId="164" fontId="58" fillId="0" borderId="15" xfId="0" applyFont="1" applyFill="1" applyBorder="1" applyAlignment="1">
      <alignment vertical="center"/>
    </xf>
    <xf numFmtId="164" fontId="77" fillId="25" borderId="3" xfId="0" applyFont="1" applyFill="1" applyBorder="1" applyAlignment="1">
      <alignment horizontal="center" vertical="top" wrapText="1"/>
    </xf>
    <xf numFmtId="164" fontId="62" fillId="25" borderId="3" xfId="0" applyFont="1" applyFill="1" applyBorder="1" applyAlignment="1">
      <alignment horizontal="center" vertical="top" wrapText="1"/>
    </xf>
    <xf numFmtId="164" fontId="62" fillId="0" borderId="3" xfId="0" applyFont="1" applyFill="1" applyBorder="1" applyAlignment="1">
      <alignment horizontal="center" vertical="top" wrapText="1"/>
    </xf>
    <xf numFmtId="164" fontId="64" fillId="0" borderId="3" xfId="0" applyFont="1" applyFill="1" applyBorder="1" applyAlignment="1">
      <alignment horizontal="center" vertical="top" wrapText="1"/>
    </xf>
    <xf numFmtId="164" fontId="64" fillId="25" borderId="16" xfId="0" applyFont="1" applyFill="1" applyBorder="1" applyAlignment="1">
      <alignment horizontal="center" vertical="top" wrapText="1"/>
    </xf>
    <xf numFmtId="164" fontId="62" fillId="25" borderId="16" xfId="0" applyFont="1" applyFill="1" applyBorder="1" applyAlignment="1">
      <alignment horizontal="center" vertical="top" wrapText="1"/>
    </xf>
    <xf numFmtId="164" fontId="64" fillId="0" borderId="16" xfId="0" applyFont="1" applyFill="1" applyBorder="1" applyAlignment="1">
      <alignment horizontal="center" vertical="top" wrapText="1"/>
    </xf>
    <xf numFmtId="164" fontId="62" fillId="0" borderId="16" xfId="0" applyFont="1" applyFill="1" applyBorder="1" applyAlignment="1">
      <alignment horizontal="center" vertical="top" wrapText="1"/>
    </xf>
    <xf numFmtId="164" fontId="64" fillId="0" borderId="15" xfId="0" applyFont="1" applyFill="1" applyBorder="1" applyAlignment="1">
      <alignment horizontal="center" vertical="top" wrapText="1"/>
    </xf>
    <xf numFmtId="164" fontId="77" fillId="25" borderId="3" xfId="0" applyFont="1" applyFill="1" applyBorder="1" applyAlignment="1">
      <alignment horizontal="center" vertical="center"/>
    </xf>
    <xf numFmtId="164" fontId="62" fillId="25" borderId="3" xfId="0" applyFont="1" applyFill="1" applyBorder="1" applyAlignment="1">
      <alignment horizontal="center" vertical="center" wrapText="1"/>
    </xf>
    <xf numFmtId="164" fontId="64" fillId="0" borderId="3" xfId="0" applyFont="1" applyFill="1" applyBorder="1" applyAlignment="1">
      <alignment horizontal="center" vertical="center" wrapText="1"/>
    </xf>
    <xf numFmtId="164" fontId="64" fillId="25" borderId="3" xfId="0" applyFont="1" applyFill="1" applyBorder="1" applyAlignment="1">
      <alignment horizontal="center" vertical="center" wrapText="1"/>
    </xf>
    <xf numFmtId="164" fontId="64" fillId="0" borderId="3" xfId="0" applyFont="1" applyFill="1" applyBorder="1" applyAlignment="1">
      <alignment horizontal="center" vertical="center"/>
    </xf>
    <xf numFmtId="164" fontId="70" fillId="0" borderId="17" xfId="0" applyFont="1" applyFill="1" applyBorder="1" applyAlignment="1">
      <alignment horizontal="center" vertical="center" wrapText="1"/>
    </xf>
    <xf numFmtId="164" fontId="78" fillId="0" borderId="0" xfId="0" applyFont="1" applyFill="1" applyBorder="1" applyAlignment="1">
      <alignment vertical="center"/>
    </xf>
    <xf numFmtId="164" fontId="79" fillId="0" borderId="15" xfId="0" applyFont="1" applyFill="1" applyBorder="1" applyAlignment="1">
      <alignment vertical="center"/>
    </xf>
    <xf numFmtId="164" fontId="80" fillId="0" borderId="0" xfId="0" applyFont="1" applyFill="1" applyBorder="1" applyAlignment="1">
      <alignment vertical="center"/>
    </xf>
    <xf numFmtId="164" fontId="60" fillId="0" borderId="18" xfId="201" applyNumberFormat="1" applyFont="1" applyFill="1" applyBorder="1" applyAlignment="1">
      <alignment horizontal="left" vertical="center" wrapText="1"/>
      <protection locked="0"/>
    </xf>
    <xf numFmtId="164" fontId="60" fillId="0" borderId="18" xfId="0" applyFont="1" applyFill="1" applyBorder="1" applyAlignment="1">
      <alignment horizontal="center" vertical="center" wrapText="1"/>
    </xf>
    <xf numFmtId="180" fontId="77" fillId="25" borderId="18" xfId="0" applyNumberFormat="1" applyFont="1" applyFill="1" applyBorder="1" applyAlignment="1">
      <alignment horizontal="center" vertical="center" wrapText="1"/>
    </xf>
    <xf numFmtId="180" fontId="64" fillId="25" borderId="18" xfId="0" applyNumberFormat="1" applyFont="1" applyFill="1" applyBorder="1" applyAlignment="1">
      <alignment horizontal="center" vertical="center" wrapText="1"/>
    </xf>
    <xf numFmtId="180" fontId="64" fillId="22" borderId="18" xfId="0" applyNumberFormat="1" applyFont="1" applyFill="1" applyBorder="1" applyAlignment="1">
      <alignment horizontal="center" vertical="center" wrapText="1"/>
    </xf>
    <xf numFmtId="180" fontId="64" fillId="22" borderId="15" xfId="0" applyNumberFormat="1" applyFont="1" applyFill="1" applyBorder="1" applyAlignment="1">
      <alignment horizontal="center" vertical="center"/>
    </xf>
    <xf numFmtId="180" fontId="62" fillId="22" borderId="18" xfId="0" applyNumberFormat="1" applyFont="1" applyFill="1" applyBorder="1" applyAlignment="1">
      <alignment horizontal="center" vertical="center" wrapText="1"/>
    </xf>
    <xf numFmtId="180" fontId="69" fillId="22" borderId="18" xfId="0" applyNumberFormat="1" applyFont="1" applyFill="1" applyBorder="1" applyAlignment="1">
      <alignment horizontal="center" vertical="center" wrapText="1"/>
    </xf>
    <xf numFmtId="164" fontId="78" fillId="0" borderId="0" xfId="0" applyFont="1" applyFill="1" applyBorder="1" applyAlignment="1">
      <alignment horizontal="center" vertical="center"/>
    </xf>
    <xf numFmtId="180" fontId="64" fillId="22" borderId="15" xfId="0" applyNumberFormat="1" applyFont="1" applyFill="1" applyBorder="1" applyAlignment="1">
      <alignment horizontal="center" vertical="center" wrapText="1"/>
    </xf>
    <xf numFmtId="180" fontId="62" fillId="25" borderId="18" xfId="0" applyNumberFormat="1" applyFont="1" applyFill="1" applyBorder="1" applyAlignment="1">
      <alignment horizontal="center" vertical="center" wrapText="1"/>
    </xf>
    <xf numFmtId="164" fontId="60" fillId="0" borderId="3" xfId="201" applyNumberFormat="1" applyFont="1" applyFill="1" applyBorder="1" applyAlignment="1">
      <alignment horizontal="left" vertical="center" wrapText="1"/>
      <protection locked="0"/>
    </xf>
    <xf numFmtId="164" fontId="70" fillId="2" borderId="3" xfId="201" applyNumberFormat="1" applyFont="1" applyFill="1" applyBorder="1" applyAlignment="1">
      <alignment horizontal="left" vertical="center" wrapText="1"/>
      <protection locked="0"/>
    </xf>
    <xf numFmtId="164" fontId="60" fillId="2" borderId="3" xfId="0" applyFont="1" applyFill="1" applyBorder="1" applyAlignment="1">
      <alignment horizontal="center" vertical="center" wrapText="1"/>
    </xf>
    <xf numFmtId="180" fontId="81" fillId="2" borderId="3" xfId="0" applyNumberFormat="1" applyFont="1" applyFill="1" applyBorder="1" applyAlignment="1">
      <alignment horizontal="center" vertical="center" wrapText="1"/>
    </xf>
    <xf numFmtId="180" fontId="74" fillId="2" borderId="3" xfId="0" applyNumberFormat="1" applyFont="1" applyFill="1" applyBorder="1" applyAlignment="1">
      <alignment horizontal="center" vertical="center" wrapText="1"/>
    </xf>
    <xf numFmtId="180" fontId="76" fillId="2" borderId="3" xfId="0" applyNumberFormat="1" applyFont="1" applyFill="1" applyBorder="1" applyAlignment="1">
      <alignment horizontal="center" vertical="center" wrapText="1"/>
    </xf>
    <xf numFmtId="180" fontId="82" fillId="2" borderId="3" xfId="0" applyNumberFormat="1" applyFont="1" applyFill="1" applyBorder="1" applyAlignment="1">
      <alignment horizontal="center" vertical="center" wrapText="1"/>
    </xf>
    <xf numFmtId="180" fontId="62" fillId="2" borderId="18" xfId="0" applyNumberFormat="1" applyFont="1" applyFill="1" applyBorder="1" applyAlignment="1">
      <alignment horizontal="center" vertical="center" wrapText="1"/>
    </xf>
    <xf numFmtId="180" fontId="76" fillId="25" borderId="3" xfId="0" applyNumberFormat="1" applyFont="1" applyFill="1" applyBorder="1" applyAlignment="1">
      <alignment horizontal="center" vertical="center" wrapText="1"/>
    </xf>
    <xf numFmtId="180" fontId="76" fillId="22" borderId="3" xfId="0" applyNumberFormat="1" applyFont="1" applyFill="1" applyBorder="1" applyAlignment="1">
      <alignment horizontal="center" vertical="center" wrapText="1"/>
    </xf>
    <xf numFmtId="180" fontId="64" fillId="22" borderId="15" xfId="0" applyNumberFormat="1" applyFont="1" applyFill="1" applyBorder="1" applyAlignment="1">
      <alignment horizontal="center"/>
    </xf>
    <xf numFmtId="164" fontId="60" fillId="0" borderId="3" xfId="0" applyFont="1" applyFill="1" applyBorder="1" applyAlignment="1">
      <alignment horizontal="left" vertical="center" wrapText="1"/>
    </xf>
    <xf numFmtId="164" fontId="60" fillId="22" borderId="3" xfId="0" applyFont="1" applyFill="1" applyBorder="1" applyAlignment="1">
      <alignment horizontal="left" vertical="center" wrapText="1"/>
    </xf>
    <xf numFmtId="164" fontId="60" fillId="22" borderId="3" xfId="0" applyFont="1" applyFill="1" applyBorder="1" applyAlignment="1">
      <alignment horizontal="center" vertical="center"/>
    </xf>
    <xf numFmtId="164" fontId="78" fillId="22" borderId="0" xfId="0" applyFont="1" applyFill="1" applyBorder="1" applyAlignment="1">
      <alignment horizontal="center" vertical="center"/>
    </xf>
    <xf numFmtId="164" fontId="80" fillId="22" borderId="0" xfId="0" applyFont="1" applyFill="1" applyBorder="1" applyAlignment="1">
      <alignment vertical="center"/>
    </xf>
    <xf numFmtId="164" fontId="60" fillId="0" borderId="3" xfId="0" applyFont="1" applyFill="1" applyBorder="1" applyAlignment="1">
      <alignment horizontal="left" vertical="center" wrapText="1" shrinkToFit="1"/>
    </xf>
    <xf numFmtId="164" fontId="70" fillId="2" borderId="3" xfId="0" applyFont="1" applyFill="1" applyBorder="1" applyAlignment="1">
      <alignment horizontal="left" vertical="center" wrapText="1"/>
    </xf>
    <xf numFmtId="164" fontId="70" fillId="0" borderId="3" xfId="0" applyFont="1" applyFill="1" applyBorder="1" applyAlignment="1" applyProtection="1">
      <alignment horizontal="left" vertical="center" wrapText="1"/>
      <protection locked="0"/>
    </xf>
    <xf numFmtId="180" fontId="81" fillId="25" borderId="3" xfId="0" applyNumberFormat="1" applyFont="1" applyFill="1" applyBorder="1" applyAlignment="1">
      <alignment horizontal="center" vertical="center" wrapText="1"/>
    </xf>
    <xf numFmtId="180" fontId="74" fillId="25" borderId="3" xfId="0" applyNumberFormat="1" applyFont="1" applyFill="1" applyBorder="1" applyAlignment="1">
      <alignment horizontal="center" vertical="center" wrapText="1"/>
    </xf>
    <xf numFmtId="180" fontId="64" fillId="22" borderId="3" xfId="0" applyNumberFormat="1" applyFont="1" applyFill="1" applyBorder="1" applyAlignment="1">
      <alignment horizontal="center" vertical="center" wrapText="1"/>
    </xf>
    <xf numFmtId="180" fontId="74" fillId="22" borderId="3" xfId="0" applyNumberFormat="1" applyFont="1" applyFill="1" applyBorder="1" applyAlignment="1">
      <alignment horizontal="center" vertical="center" wrapText="1"/>
    </xf>
    <xf numFmtId="164" fontId="70" fillId="2" borderId="3" xfId="0" applyFont="1" applyFill="1" applyBorder="1" applyAlignment="1" applyProtection="1">
      <alignment horizontal="left" vertical="center" wrapText="1"/>
      <protection locked="0"/>
    </xf>
    <xf numFmtId="164" fontId="60" fillId="2" borderId="12" xfId="0" applyFont="1" applyFill="1" applyBorder="1" applyAlignment="1">
      <alignment horizontal="center" vertical="center" wrapText="1"/>
    </xf>
    <xf numFmtId="164" fontId="60" fillId="2" borderId="3" xfId="0" applyFont="1" applyFill="1" applyBorder="1" applyAlignment="1">
      <alignment horizontal="center" vertical="center"/>
    </xf>
    <xf numFmtId="164" fontId="60" fillId="2" borderId="3" xfId="0" applyFont="1" applyFill="1" applyBorder="1" applyAlignment="1">
      <alignment horizontal="left" vertical="center" wrapText="1"/>
    </xf>
    <xf numFmtId="180" fontId="77" fillId="2" borderId="18" xfId="0" applyNumberFormat="1" applyFont="1" applyFill="1" applyBorder="1" applyAlignment="1">
      <alignment horizontal="center" vertical="center" wrapText="1"/>
    </xf>
    <xf numFmtId="180" fontId="64" fillId="2" borderId="18" xfId="0" applyNumberFormat="1" applyFont="1" applyFill="1" applyBorder="1" applyAlignment="1">
      <alignment horizontal="center" vertical="center" wrapText="1"/>
    </xf>
    <xf numFmtId="180" fontId="69" fillId="2" borderId="18" xfId="0" applyNumberFormat="1" applyFont="1" applyFill="1" applyBorder="1" applyAlignment="1">
      <alignment horizontal="center" vertical="center" wrapText="1"/>
    </xf>
    <xf numFmtId="164" fontId="70" fillId="0" borderId="3" xfId="0" applyFont="1" applyFill="1" applyBorder="1" applyAlignment="1">
      <alignment horizontal="left" vertical="center" wrapText="1"/>
    </xf>
    <xf numFmtId="180" fontId="77" fillId="25" borderId="12" xfId="0" applyNumberFormat="1" applyFont="1" applyFill="1" applyBorder="1" applyAlignment="1">
      <alignment horizontal="center" vertical="center" wrapText="1"/>
    </xf>
    <xf numFmtId="180" fontId="77" fillId="25" borderId="13" xfId="0" applyNumberFormat="1" applyFont="1" applyFill="1" applyBorder="1" applyAlignment="1">
      <alignment horizontal="center" vertical="center" wrapText="1"/>
    </xf>
    <xf numFmtId="180" fontId="62" fillId="25" borderId="13" xfId="0" applyNumberFormat="1" applyFont="1" applyFill="1" applyBorder="1" applyAlignment="1">
      <alignment horizontal="center" vertical="center" wrapText="1"/>
    </xf>
    <xf numFmtId="180" fontId="64" fillId="22" borderId="13" xfId="0" applyNumberFormat="1" applyFont="1" applyFill="1" applyBorder="1" applyAlignment="1">
      <alignment horizontal="center" vertical="center" wrapText="1"/>
    </xf>
    <xf numFmtId="180" fontId="64" fillId="25" borderId="13" xfId="0" applyNumberFormat="1" applyFont="1" applyFill="1" applyBorder="1" applyAlignment="1">
      <alignment horizontal="center" vertical="center" wrapText="1"/>
    </xf>
    <xf numFmtId="180" fontId="63" fillId="22" borderId="13" xfId="0" applyNumberFormat="1" applyFont="1" applyFill="1" applyBorder="1" applyAlignment="1">
      <alignment horizontal="center" vertical="center" wrapText="1"/>
    </xf>
    <xf numFmtId="164" fontId="60" fillId="0" borderId="3" xfId="0" applyFont="1" applyFill="1" applyBorder="1" applyAlignment="1">
      <alignment horizontal="center"/>
    </xf>
    <xf numFmtId="180" fontId="64" fillId="25" borderId="15" xfId="0" applyNumberFormat="1" applyFont="1" applyFill="1" applyBorder="1" applyAlignment="1">
      <alignment horizontal="center"/>
    </xf>
    <xf numFmtId="180" fontId="64" fillId="25" borderId="15" xfId="0" applyNumberFormat="1" applyFont="1" applyFill="1" applyBorder="1" applyAlignment="1">
      <alignment horizontal="center" vertical="center"/>
    </xf>
    <xf numFmtId="164" fontId="76" fillId="25" borderId="17" xfId="0" applyFont="1" applyFill="1" applyBorder="1" applyAlignment="1">
      <alignment horizontal="center" vertical="center" wrapText="1"/>
    </xf>
    <xf numFmtId="164" fontId="76" fillId="0" borderId="17" xfId="0" applyFont="1" applyFill="1" applyBorder="1" applyAlignment="1">
      <alignment horizontal="center" vertical="center" wrapText="1"/>
    </xf>
    <xf numFmtId="164" fontId="70" fillId="0" borderId="19" xfId="0" applyFont="1" applyFill="1" applyBorder="1" applyAlignment="1">
      <alignment horizontal="left" vertical="center" wrapText="1"/>
    </xf>
    <xf numFmtId="164" fontId="76" fillId="25" borderId="19" xfId="0" applyFont="1" applyFill="1" applyBorder="1" applyAlignment="1">
      <alignment horizontal="left" vertical="center" wrapText="1"/>
    </xf>
    <xf numFmtId="164" fontId="76" fillId="0" borderId="19" xfId="0" applyFont="1" applyFill="1" applyBorder="1" applyAlignment="1">
      <alignment horizontal="left" vertical="center" wrapText="1"/>
    </xf>
    <xf numFmtId="164" fontId="60" fillId="0" borderId="18" xfId="264" applyFont="1" applyFill="1" applyBorder="1" applyAlignment="1">
      <alignment horizontal="left" vertical="center" wrapText="1"/>
      <protection/>
    </xf>
    <xf numFmtId="164" fontId="60" fillId="0" borderId="18" xfId="0" applyFont="1" applyFill="1" applyBorder="1" applyAlignment="1">
      <alignment horizontal="center" vertical="center"/>
    </xf>
    <xf numFmtId="164" fontId="60" fillId="0" borderId="3" xfId="264" applyFont="1" applyFill="1" applyBorder="1" applyAlignment="1">
      <alignment horizontal="left" vertical="center" wrapText="1"/>
      <protection/>
    </xf>
    <xf numFmtId="180" fontId="77" fillId="25" borderId="3" xfId="0" applyNumberFormat="1" applyFont="1" applyFill="1" applyBorder="1" applyAlignment="1">
      <alignment horizontal="center" vertical="center" wrapText="1"/>
    </xf>
    <xf numFmtId="180" fontId="62" fillId="25" borderId="3" xfId="0" applyNumberFormat="1" applyFont="1" applyFill="1" applyBorder="1" applyAlignment="1">
      <alignment horizontal="center" vertical="center" wrapText="1"/>
    </xf>
    <xf numFmtId="180" fontId="64" fillId="25" borderId="3" xfId="0" applyNumberFormat="1" applyFont="1" applyFill="1" applyBorder="1" applyAlignment="1">
      <alignment horizontal="center" vertical="center" wrapText="1"/>
    </xf>
    <xf numFmtId="164" fontId="76" fillId="25" borderId="3" xfId="0" applyFont="1" applyFill="1" applyBorder="1" applyAlignment="1">
      <alignment horizontal="left" vertical="center" wrapText="1"/>
    </xf>
    <xf numFmtId="164" fontId="76" fillId="0" borderId="3" xfId="0" applyFont="1" applyFill="1" applyBorder="1" applyAlignment="1">
      <alignment horizontal="left" vertical="center" wrapText="1"/>
    </xf>
    <xf numFmtId="164" fontId="74" fillId="22" borderId="3" xfId="264" applyFont="1" applyFill="1" applyBorder="1" applyAlignment="1">
      <alignment horizontal="left" vertical="center" wrapText="1"/>
      <protection/>
    </xf>
    <xf numFmtId="180" fontId="76" fillId="22" borderId="15" xfId="0" applyNumberFormat="1" applyFont="1" applyFill="1" applyBorder="1" applyAlignment="1">
      <alignment horizontal="center" vertical="center"/>
    </xf>
    <xf numFmtId="180" fontId="76" fillId="25" borderId="15" xfId="0" applyNumberFormat="1" applyFont="1" applyFill="1" applyBorder="1" applyAlignment="1">
      <alignment horizontal="center" vertical="center"/>
    </xf>
    <xf numFmtId="164" fontId="79" fillId="0" borderId="0" xfId="0" applyFont="1" applyFill="1" applyBorder="1" applyAlignment="1">
      <alignment horizontal="center" vertical="center"/>
    </xf>
    <xf numFmtId="164" fontId="62" fillId="0" borderId="3" xfId="0" applyFont="1" applyFill="1" applyBorder="1" applyAlignment="1">
      <alignment horizontal="left" vertical="center" wrapText="1"/>
    </xf>
    <xf numFmtId="164" fontId="62" fillId="0" borderId="3" xfId="264" applyFont="1" applyFill="1" applyBorder="1" applyAlignment="1">
      <alignment horizontal="left" vertical="center" wrapText="1"/>
      <protection/>
    </xf>
    <xf numFmtId="164" fontId="70" fillId="0" borderId="3" xfId="264" applyFont="1" applyFill="1" applyBorder="1" applyAlignment="1">
      <alignment horizontal="left" vertical="center" wrapText="1"/>
      <protection/>
    </xf>
    <xf numFmtId="164" fontId="60" fillId="0" borderId="3" xfId="264" applyFont="1" applyFill="1" applyBorder="1" applyAlignment="1">
      <alignment horizontal="center" vertical="center"/>
      <protection/>
    </xf>
    <xf numFmtId="180" fontId="81" fillId="25" borderId="18" xfId="0" applyNumberFormat="1" applyFont="1" applyFill="1" applyBorder="1" applyAlignment="1">
      <alignment horizontal="center" vertical="center" wrapText="1"/>
    </xf>
    <xf numFmtId="180" fontId="76" fillId="25" borderId="18" xfId="0" applyNumberFormat="1" applyFont="1" applyFill="1" applyBorder="1" applyAlignment="1">
      <alignment horizontal="center" vertical="center" wrapText="1"/>
    </xf>
    <xf numFmtId="180" fontId="76" fillId="22" borderId="18" xfId="0" applyNumberFormat="1" applyFont="1" applyFill="1" applyBorder="1" applyAlignment="1">
      <alignment horizontal="center" vertical="center" wrapText="1"/>
    </xf>
    <xf numFmtId="180" fontId="74" fillId="25" borderId="18" xfId="0" applyNumberFormat="1" applyFont="1" applyFill="1" applyBorder="1" applyAlignment="1">
      <alignment horizontal="center" vertical="center" wrapText="1"/>
    </xf>
    <xf numFmtId="164" fontId="74" fillId="2" borderId="3" xfId="264" applyFont="1" applyFill="1" applyBorder="1" applyAlignment="1">
      <alignment horizontal="left" vertical="center" wrapText="1"/>
      <protection/>
    </xf>
    <xf numFmtId="164" fontId="62" fillId="2" borderId="3" xfId="264" applyFont="1" applyFill="1" applyBorder="1" applyAlignment="1">
      <alignment horizontal="center" vertical="center"/>
      <protection/>
    </xf>
    <xf numFmtId="180" fontId="81" fillId="2" borderId="18" xfId="0" applyNumberFormat="1" applyFont="1" applyFill="1" applyBorder="1" applyAlignment="1">
      <alignment horizontal="center" vertical="center" wrapText="1"/>
    </xf>
    <xf numFmtId="180" fontId="74" fillId="2" borderId="18" xfId="0" applyNumberFormat="1" applyFont="1" applyFill="1" applyBorder="1" applyAlignment="1">
      <alignment horizontal="center" vertical="center" wrapText="1"/>
    </xf>
    <xf numFmtId="180" fontId="76" fillId="2" borderId="18" xfId="0" applyNumberFormat="1" applyFont="1" applyFill="1" applyBorder="1" applyAlignment="1">
      <alignment horizontal="center" vertical="center" wrapText="1"/>
    </xf>
    <xf numFmtId="164" fontId="60" fillId="0" borderId="3" xfId="0" applyFont="1" applyFill="1" applyBorder="1" applyAlignment="1" applyProtection="1">
      <alignment horizontal="left" vertical="center" wrapText="1"/>
      <protection locked="0"/>
    </xf>
    <xf numFmtId="164" fontId="79" fillId="0" borderId="0" xfId="0" applyFont="1" applyFill="1" applyBorder="1" applyAlignment="1">
      <alignment horizontal="left" vertical="top" wrapText="1"/>
    </xf>
    <xf numFmtId="180" fontId="82" fillId="2" borderId="18" xfId="0" applyNumberFormat="1" applyFont="1" applyFill="1" applyBorder="1" applyAlignment="1">
      <alignment horizontal="center" vertical="center" wrapText="1"/>
    </xf>
    <xf numFmtId="180" fontId="60" fillId="0" borderId="18" xfId="0" applyNumberFormat="1" applyFont="1" applyFill="1" applyBorder="1" applyAlignment="1">
      <alignment horizontal="right" vertical="center" wrapText="1"/>
    </xf>
    <xf numFmtId="164" fontId="74" fillId="22" borderId="15" xfId="0" applyFont="1" applyFill="1" applyBorder="1" applyAlignment="1">
      <alignment horizontal="center" vertical="center" wrapText="1"/>
    </xf>
    <xf numFmtId="164" fontId="76" fillId="25" borderId="15" xfId="0" applyFont="1" applyFill="1" applyBorder="1" applyAlignment="1">
      <alignment horizontal="center" vertical="center" wrapText="1"/>
    </xf>
    <xf numFmtId="164" fontId="76" fillId="22" borderId="15" xfId="0" applyFont="1" applyFill="1" applyBorder="1" applyAlignment="1">
      <alignment horizontal="center" vertical="center" wrapText="1"/>
    </xf>
    <xf numFmtId="164" fontId="70" fillId="0" borderId="18" xfId="0" applyFont="1" applyFill="1" applyBorder="1" applyAlignment="1" applyProtection="1">
      <alignment horizontal="left" vertical="center" wrapText="1"/>
      <protection locked="0"/>
    </xf>
    <xf numFmtId="164" fontId="60" fillId="0" borderId="16" xfId="0" applyFont="1" applyFill="1" applyBorder="1" applyAlignment="1">
      <alignment horizontal="center" vertical="center"/>
    </xf>
    <xf numFmtId="180" fontId="63" fillId="22" borderId="18" xfId="0" applyNumberFormat="1" applyFont="1" applyFill="1" applyBorder="1" applyAlignment="1">
      <alignment horizontal="center" vertical="center" wrapText="1"/>
    </xf>
    <xf numFmtId="164" fontId="59" fillId="0" borderId="0" xfId="0" applyFont="1" applyFill="1" applyBorder="1" applyAlignment="1">
      <alignment horizontal="center" vertical="center"/>
    </xf>
    <xf numFmtId="164" fontId="70" fillId="0" borderId="16" xfId="0" applyFont="1" applyFill="1" applyBorder="1" applyAlignment="1" applyProtection="1">
      <alignment horizontal="left" vertical="center" wrapText="1"/>
      <protection locked="0"/>
    </xf>
    <xf numFmtId="164" fontId="70" fillId="0" borderId="17" xfId="0" applyFont="1" applyFill="1" applyBorder="1" applyAlignment="1" applyProtection="1">
      <alignment horizontal="center" vertical="center" wrapText="1"/>
      <protection locked="0"/>
    </xf>
    <xf numFmtId="164" fontId="76" fillId="25" borderId="17" xfId="0" applyFont="1" applyFill="1" applyBorder="1" applyAlignment="1" applyProtection="1">
      <alignment horizontal="center" vertical="center" wrapText="1"/>
      <protection locked="0"/>
    </xf>
    <xf numFmtId="164" fontId="76" fillId="0" borderId="17" xfId="0" applyFont="1" applyFill="1" applyBorder="1" applyAlignment="1" applyProtection="1">
      <alignment horizontal="center" vertical="center" wrapText="1"/>
      <protection locked="0"/>
    </xf>
    <xf numFmtId="164" fontId="70" fillId="2" borderId="18" xfId="0" applyFont="1" applyFill="1" applyBorder="1" applyAlignment="1" applyProtection="1">
      <alignment horizontal="left" vertical="center" wrapText="1"/>
      <protection locked="0"/>
    </xf>
    <xf numFmtId="164" fontId="60" fillId="2" borderId="18" xfId="0" applyNumberFormat="1" applyFont="1" applyFill="1" applyBorder="1" applyAlignment="1">
      <alignment horizontal="center" vertical="center"/>
    </xf>
    <xf numFmtId="180" fontId="81" fillId="26" borderId="18" xfId="0" applyNumberFormat="1" applyFont="1" applyFill="1" applyBorder="1" applyAlignment="1">
      <alignment horizontal="center" vertical="center" wrapText="1"/>
    </xf>
    <xf numFmtId="180" fontId="76" fillId="26" borderId="18" xfId="0" applyNumberFormat="1" applyFont="1" applyFill="1" applyBorder="1" applyAlignment="1">
      <alignment horizontal="center" vertical="center" wrapText="1"/>
    </xf>
    <xf numFmtId="164" fontId="60" fillId="22" borderId="3" xfId="0" applyNumberFormat="1" applyFont="1" applyFill="1" applyBorder="1" applyAlignment="1">
      <alignment horizontal="center" vertical="center"/>
    </xf>
    <xf numFmtId="180" fontId="77" fillId="22" borderId="18" xfId="0" applyNumberFormat="1" applyFont="1" applyFill="1" applyBorder="1" applyAlignment="1">
      <alignment horizontal="center" vertical="center" wrapText="1"/>
    </xf>
    <xf numFmtId="180" fontId="74" fillId="22" borderId="18" xfId="0" applyNumberFormat="1" applyFont="1" applyFill="1" applyBorder="1" applyAlignment="1">
      <alignment horizontal="center" vertical="center" wrapText="1"/>
    </xf>
    <xf numFmtId="164" fontId="62" fillId="22" borderId="3" xfId="0" applyFont="1" applyFill="1" applyBorder="1" applyAlignment="1">
      <alignment horizontal="left" vertical="center" wrapText="1"/>
    </xf>
    <xf numFmtId="164" fontId="60" fillId="0" borderId="20" xfId="304" applyFont="1" applyFill="1" applyBorder="1" applyAlignment="1">
      <alignment horizontal="left" wrapText="1"/>
      <protection/>
    </xf>
    <xf numFmtId="164" fontId="62" fillId="0" borderId="20" xfId="304" applyFont="1" applyFill="1" applyBorder="1" applyAlignment="1">
      <alignment horizontal="left" wrapText="1"/>
      <protection/>
    </xf>
    <xf numFmtId="168" fontId="77" fillId="22" borderId="3" xfId="0" applyNumberFormat="1" applyFont="1" applyFill="1" applyBorder="1" applyAlignment="1">
      <alignment horizontal="center" vertical="center" wrapText="1"/>
    </xf>
    <xf numFmtId="180" fontId="64" fillId="22" borderId="3" xfId="0" applyNumberFormat="1" applyFont="1" applyFill="1" applyBorder="1" applyAlignment="1">
      <alignment horizontal="center" vertical="center" wrapText="1"/>
    </xf>
    <xf numFmtId="164" fontId="60" fillId="22" borderId="3" xfId="0" applyFont="1" applyFill="1" applyBorder="1" applyAlignment="1">
      <alignment horizontal="left" vertical="center" wrapText="1"/>
    </xf>
    <xf numFmtId="164" fontId="64" fillId="22" borderId="3" xfId="0" applyFont="1" applyFill="1" applyBorder="1" applyAlignment="1">
      <alignment horizontal="left" vertical="center" wrapText="1"/>
    </xf>
    <xf numFmtId="164" fontId="60" fillId="0" borderId="18" xfId="0" applyNumberFormat="1" applyFont="1" applyFill="1" applyBorder="1" applyAlignment="1">
      <alignment horizontal="center" vertical="center"/>
    </xf>
    <xf numFmtId="164" fontId="60" fillId="2" borderId="3" xfId="264" applyFont="1" applyFill="1" applyBorder="1" applyAlignment="1">
      <alignment horizontal="left" vertical="center" wrapText="1"/>
      <protection/>
    </xf>
    <xf numFmtId="164" fontId="60" fillId="0" borderId="21" xfId="264" applyFont="1" applyFill="1" applyBorder="1" applyAlignment="1">
      <alignment horizontal="left" vertical="center" wrapText="1"/>
      <protection/>
    </xf>
    <xf numFmtId="164" fontId="60" fillId="0" borderId="21" xfId="0" applyNumberFormat="1" applyFont="1" applyFill="1" applyBorder="1" applyAlignment="1">
      <alignment horizontal="center" vertical="center"/>
    </xf>
    <xf numFmtId="180" fontId="77" fillId="25" borderId="21" xfId="0" applyNumberFormat="1" applyFont="1" applyFill="1" applyBorder="1" applyAlignment="1">
      <alignment horizontal="center" vertical="center" wrapText="1"/>
    </xf>
    <xf numFmtId="180" fontId="64" fillId="25" borderId="21" xfId="0" applyNumberFormat="1" applyFont="1" applyFill="1" applyBorder="1" applyAlignment="1">
      <alignment horizontal="center" vertical="center" wrapText="1"/>
    </xf>
    <xf numFmtId="180" fontId="64" fillId="22" borderId="21" xfId="0" applyNumberFormat="1" applyFont="1" applyFill="1" applyBorder="1" applyAlignment="1">
      <alignment horizontal="center" vertical="center" wrapText="1"/>
    </xf>
    <xf numFmtId="180" fontId="62" fillId="22" borderId="21" xfId="0" applyNumberFormat="1" applyFont="1" applyFill="1" applyBorder="1" applyAlignment="1">
      <alignment horizontal="center" vertical="center" wrapText="1"/>
    </xf>
    <xf numFmtId="164" fontId="70" fillId="0" borderId="22" xfId="256" applyNumberFormat="1" applyFont="1" applyFill="1" applyBorder="1" applyAlignment="1">
      <alignment horizontal="center" vertical="center" wrapText="1"/>
      <protection/>
    </xf>
    <xf numFmtId="164" fontId="76" fillId="25" borderId="22" xfId="256" applyNumberFormat="1" applyFont="1" applyFill="1" applyBorder="1" applyAlignment="1">
      <alignment horizontal="center" vertical="center" wrapText="1"/>
      <protection/>
    </xf>
    <xf numFmtId="164" fontId="76" fillId="0" borderId="22" xfId="256" applyNumberFormat="1" applyFont="1" applyFill="1" applyBorder="1" applyAlignment="1">
      <alignment horizontal="center" vertical="center" wrapText="1"/>
      <protection/>
    </xf>
    <xf numFmtId="164" fontId="60" fillId="2" borderId="18" xfId="0" applyFont="1" applyFill="1" applyBorder="1" applyAlignment="1" applyProtection="1">
      <alignment horizontal="left" vertical="center" wrapText="1"/>
      <protection locked="0"/>
    </xf>
    <xf numFmtId="164" fontId="60" fillId="2" borderId="18" xfId="0" applyFont="1" applyFill="1" applyBorder="1" applyAlignment="1">
      <alignment horizontal="center" vertical="center"/>
    </xf>
    <xf numFmtId="181" fontId="81" fillId="2" borderId="18" xfId="0" applyNumberFormat="1" applyFont="1" applyFill="1" applyBorder="1" applyAlignment="1">
      <alignment horizontal="center" vertical="center" wrapText="1"/>
    </xf>
    <xf numFmtId="181" fontId="76" fillId="2" borderId="18" xfId="0" applyNumberFormat="1" applyFont="1" applyFill="1" applyBorder="1" applyAlignment="1">
      <alignment horizontal="center" vertical="center" wrapText="1"/>
    </xf>
    <xf numFmtId="182" fontId="81" fillId="2" borderId="18" xfId="0" applyNumberFormat="1" applyFont="1" applyFill="1" applyBorder="1" applyAlignment="1">
      <alignment horizontal="center" vertical="center" wrapText="1"/>
    </xf>
    <xf numFmtId="181" fontId="76" fillId="22" borderId="18" xfId="0" applyNumberFormat="1" applyFont="1" applyFill="1" applyBorder="1" applyAlignment="1">
      <alignment horizontal="center" vertical="center" wrapText="1"/>
    </xf>
    <xf numFmtId="181" fontId="82" fillId="2" borderId="18" xfId="0" applyNumberFormat="1" applyFont="1" applyFill="1" applyBorder="1" applyAlignment="1">
      <alignment horizontal="center" vertical="center" wrapText="1"/>
    </xf>
    <xf numFmtId="164" fontId="60" fillId="0" borderId="18" xfId="0" applyFont="1" applyFill="1" applyBorder="1" applyAlignment="1" applyProtection="1">
      <alignment horizontal="left" vertical="center" wrapText="1"/>
      <protection locked="0"/>
    </xf>
    <xf numFmtId="180" fontId="64" fillId="4" borderId="18" xfId="0" applyNumberFormat="1" applyFont="1" applyFill="1" applyBorder="1" applyAlignment="1">
      <alignment horizontal="center" vertical="center" wrapText="1"/>
    </xf>
    <xf numFmtId="180" fontId="64" fillId="4" borderId="3" xfId="0" applyNumberFormat="1" applyFont="1" applyFill="1" applyBorder="1" applyAlignment="1">
      <alignment horizontal="center" vertical="center" wrapText="1"/>
    </xf>
    <xf numFmtId="180" fontId="63" fillId="22" borderId="3" xfId="0" applyNumberFormat="1" applyFont="1" applyFill="1" applyBorder="1" applyAlignment="1">
      <alignment horizontal="center" vertical="center" wrapText="1"/>
    </xf>
    <xf numFmtId="164" fontId="60" fillId="0" borderId="16" xfId="0" applyFont="1" applyFill="1" applyBorder="1" applyAlignment="1" applyProtection="1">
      <alignment horizontal="left" vertical="center" wrapText="1"/>
      <protection locked="0"/>
    </xf>
    <xf numFmtId="180" fontId="77" fillId="25" borderId="16" xfId="0" applyNumberFormat="1" applyFont="1" applyFill="1" applyBorder="1" applyAlignment="1">
      <alignment horizontal="center" vertical="center" wrapText="1"/>
    </xf>
    <xf numFmtId="180" fontId="62" fillId="25" borderId="16" xfId="0" applyNumberFormat="1" applyFont="1" applyFill="1" applyBorder="1" applyAlignment="1">
      <alignment horizontal="center" vertical="center" wrapText="1"/>
    </xf>
    <xf numFmtId="180" fontId="64" fillId="4" borderId="16" xfId="0" applyNumberFormat="1" applyFont="1" applyFill="1" applyBorder="1" applyAlignment="1">
      <alignment horizontal="center" vertical="center" wrapText="1"/>
    </xf>
    <xf numFmtId="180" fontId="63" fillId="22" borderId="16" xfId="0" applyNumberFormat="1" applyFont="1" applyFill="1" applyBorder="1" applyAlignment="1">
      <alignment horizontal="center" vertical="center" wrapText="1"/>
    </xf>
    <xf numFmtId="180" fontId="64" fillId="22" borderId="16" xfId="0" applyNumberFormat="1" applyFont="1" applyFill="1" applyBorder="1" applyAlignment="1">
      <alignment horizontal="center" vertical="center" wrapText="1"/>
    </xf>
    <xf numFmtId="180" fontId="64" fillId="25" borderId="16" xfId="0" applyNumberFormat="1" applyFont="1" applyFill="1" applyBorder="1" applyAlignment="1">
      <alignment horizontal="center" vertical="center" wrapText="1"/>
    </xf>
    <xf numFmtId="164" fontId="60" fillId="0" borderId="21" xfId="0" applyFont="1" applyFill="1" applyBorder="1" applyAlignment="1" applyProtection="1">
      <alignment horizontal="left" vertical="center" wrapText="1"/>
      <protection locked="0"/>
    </xf>
    <xf numFmtId="164" fontId="60" fillId="0" borderId="21" xfId="0" applyFont="1" applyFill="1" applyBorder="1" applyAlignment="1">
      <alignment horizontal="center" vertical="center"/>
    </xf>
    <xf numFmtId="180" fontId="62" fillId="25" borderId="21" xfId="0" applyNumberFormat="1" applyFont="1" applyFill="1" applyBorder="1" applyAlignment="1">
      <alignment horizontal="center" vertical="center" wrapText="1"/>
    </xf>
    <xf numFmtId="180" fontId="64" fillId="4" borderId="21" xfId="0" applyNumberFormat="1" applyFont="1" applyFill="1" applyBorder="1" applyAlignment="1">
      <alignment horizontal="center" vertical="center" wrapText="1"/>
    </xf>
    <xf numFmtId="180" fontId="63" fillId="22" borderId="21" xfId="0" applyNumberFormat="1" applyFont="1" applyFill="1" applyBorder="1" applyAlignment="1">
      <alignment horizontal="center" vertical="center" wrapText="1"/>
    </xf>
    <xf numFmtId="180" fontId="69" fillId="22" borderId="3" xfId="0" applyNumberFormat="1" applyFont="1" applyFill="1" applyBorder="1" applyAlignment="1">
      <alignment horizontal="center" vertical="center" wrapText="1"/>
    </xf>
    <xf numFmtId="180" fontId="62" fillId="22" borderId="3" xfId="0" applyNumberFormat="1" applyFont="1" applyFill="1" applyBorder="1" applyAlignment="1">
      <alignment horizontal="center" vertical="center" wrapText="1"/>
    </xf>
    <xf numFmtId="180" fontId="69" fillId="2" borderId="3" xfId="0" applyNumberFormat="1" applyFont="1" applyFill="1" applyBorder="1" applyAlignment="1">
      <alignment horizontal="center" vertical="center" wrapText="1"/>
    </xf>
    <xf numFmtId="180" fontId="62" fillId="2" borderId="3" xfId="0" applyNumberFormat="1" applyFont="1" applyFill="1" applyBorder="1" applyAlignment="1">
      <alignment horizontal="center" vertical="center" wrapText="1"/>
    </xf>
    <xf numFmtId="165" fontId="60" fillId="0" borderId="18" xfId="0" applyNumberFormat="1" applyFont="1" applyFill="1" applyBorder="1" applyAlignment="1">
      <alignment horizontal="center" vertical="center"/>
    </xf>
    <xf numFmtId="180" fontId="76" fillId="6" borderId="18" xfId="0" applyNumberFormat="1" applyFont="1" applyFill="1" applyBorder="1" applyAlignment="1">
      <alignment horizontal="center" vertical="center" wrapText="1"/>
    </xf>
    <xf numFmtId="180" fontId="75" fillId="6" borderId="18" xfId="0" applyNumberFormat="1" applyFont="1" applyFill="1" applyBorder="1" applyAlignment="1">
      <alignment horizontal="center" vertical="center" wrapText="1"/>
    </xf>
    <xf numFmtId="180" fontId="74" fillId="0" borderId="18" xfId="0" applyNumberFormat="1" applyFont="1" applyFill="1" applyBorder="1" applyAlignment="1">
      <alignment horizontal="center" vertical="center" wrapText="1"/>
    </xf>
    <xf numFmtId="180" fontId="62" fillId="0" borderId="18" xfId="0" applyNumberFormat="1" applyFont="1" applyFill="1" applyBorder="1" applyAlignment="1">
      <alignment horizontal="center" vertical="center" wrapText="1"/>
    </xf>
    <xf numFmtId="165" fontId="60" fillId="0" borderId="3" xfId="0" applyNumberFormat="1" applyFont="1" applyFill="1" applyBorder="1" applyAlignment="1">
      <alignment horizontal="center" vertical="center"/>
    </xf>
    <xf numFmtId="180" fontId="64" fillId="3" borderId="3" xfId="0" applyNumberFormat="1" applyFont="1" applyFill="1" applyBorder="1" applyAlignment="1">
      <alignment horizontal="center" vertical="center" wrapText="1"/>
    </xf>
    <xf numFmtId="180" fontId="63" fillId="3" borderId="3" xfId="0" applyNumberFormat="1" applyFont="1" applyFill="1" applyBorder="1" applyAlignment="1">
      <alignment horizontal="center" vertical="center" wrapText="1"/>
    </xf>
    <xf numFmtId="180" fontId="64" fillId="0" borderId="18" xfId="0" applyNumberFormat="1" applyFont="1" applyFill="1" applyBorder="1" applyAlignment="1">
      <alignment horizontal="center" vertical="center" wrapText="1"/>
    </xf>
    <xf numFmtId="180" fontId="63" fillId="0" borderId="18" xfId="0" applyNumberFormat="1" applyFont="1" applyFill="1" applyBorder="1" applyAlignment="1">
      <alignment horizontal="center" vertical="center" wrapText="1"/>
    </xf>
    <xf numFmtId="180" fontId="62" fillId="0" borderId="3" xfId="0" applyNumberFormat="1" applyFont="1" applyFill="1" applyBorder="1" applyAlignment="1">
      <alignment horizontal="center" vertical="center" wrapText="1"/>
    </xf>
    <xf numFmtId="180" fontId="76" fillId="6" borderId="3" xfId="0" applyNumberFormat="1" applyFont="1" applyFill="1" applyBorder="1" applyAlignment="1">
      <alignment horizontal="center" vertical="center" wrapText="1"/>
    </xf>
    <xf numFmtId="180" fontId="75" fillId="6" borderId="3" xfId="0" applyNumberFormat="1" applyFont="1" applyFill="1" applyBorder="1" applyAlignment="1">
      <alignment horizontal="center" vertical="center" wrapText="1"/>
    </xf>
    <xf numFmtId="180" fontId="74" fillId="0" borderId="3" xfId="0" applyNumberFormat="1" applyFont="1" applyFill="1" applyBorder="1" applyAlignment="1">
      <alignment horizontal="center" vertical="center" wrapText="1"/>
    </xf>
    <xf numFmtId="165" fontId="60" fillId="0" borderId="16" xfId="0" applyNumberFormat="1" applyFont="1" applyFill="1" applyBorder="1" applyAlignment="1">
      <alignment horizontal="center" vertical="center"/>
    </xf>
    <xf numFmtId="165" fontId="60" fillId="2" borderId="3" xfId="0" applyNumberFormat="1" applyFont="1" applyFill="1" applyBorder="1" applyAlignment="1">
      <alignment horizontal="center" vertical="center"/>
    </xf>
    <xf numFmtId="179" fontId="81" fillId="2" borderId="3" xfId="0" applyNumberFormat="1" applyFont="1" applyFill="1" applyBorder="1" applyAlignment="1">
      <alignment horizontal="center" vertical="center" wrapText="1"/>
    </xf>
    <xf numFmtId="180" fontId="77" fillId="2" borderId="3" xfId="0" applyNumberFormat="1" applyFont="1" applyFill="1" applyBorder="1" applyAlignment="1">
      <alignment horizontal="center" vertical="center" wrapText="1"/>
    </xf>
    <xf numFmtId="179" fontId="74" fillId="2" borderId="3" xfId="0" applyNumberFormat="1" applyFont="1" applyFill="1" applyBorder="1" applyAlignment="1">
      <alignment horizontal="center" vertical="center" wrapText="1"/>
    </xf>
    <xf numFmtId="179" fontId="76" fillId="22" borderId="3" xfId="0" applyNumberFormat="1" applyFont="1" applyFill="1" applyBorder="1" applyAlignment="1">
      <alignment horizontal="right" vertical="center" wrapText="1"/>
    </xf>
    <xf numFmtId="179" fontId="76" fillId="2" borderId="3" xfId="0" applyNumberFormat="1" applyFont="1" applyFill="1" applyBorder="1" applyAlignment="1">
      <alignment horizontal="center" vertical="center" wrapText="1"/>
    </xf>
    <xf numFmtId="179" fontId="76" fillId="25" borderId="3" xfId="0" applyNumberFormat="1" applyFont="1" applyFill="1" applyBorder="1" applyAlignment="1">
      <alignment horizontal="center" vertical="center" wrapText="1"/>
    </xf>
    <xf numFmtId="179" fontId="64" fillId="25" borderId="3" xfId="0" applyNumberFormat="1" applyFont="1" applyFill="1" applyBorder="1" applyAlignment="1">
      <alignment horizontal="center" vertical="center" wrapText="1"/>
    </xf>
    <xf numFmtId="179" fontId="64" fillId="22" borderId="3" xfId="0" applyNumberFormat="1" applyFont="1" applyFill="1" applyBorder="1" applyAlignment="1">
      <alignment horizontal="center" vertical="center" wrapText="1"/>
    </xf>
    <xf numFmtId="165" fontId="60" fillId="22" borderId="3" xfId="0" applyNumberFormat="1" applyFont="1" applyFill="1" applyBorder="1" applyAlignment="1">
      <alignment horizontal="center" vertical="center"/>
    </xf>
    <xf numFmtId="179" fontId="77" fillId="25" borderId="3" xfId="0" applyNumberFormat="1" applyFont="1" applyFill="1" applyBorder="1" applyAlignment="1">
      <alignment horizontal="center" vertical="center" wrapText="1"/>
    </xf>
    <xf numFmtId="179" fontId="62" fillId="22" borderId="3" xfId="0" applyNumberFormat="1" applyFont="1" applyFill="1" applyBorder="1" applyAlignment="1">
      <alignment horizontal="center" vertical="center" wrapText="1"/>
    </xf>
    <xf numFmtId="179" fontId="64" fillId="22" borderId="3" xfId="0" applyNumberFormat="1" applyFont="1" applyFill="1" applyBorder="1" applyAlignment="1">
      <alignment horizontal="right" vertical="center" wrapText="1"/>
    </xf>
    <xf numFmtId="179" fontId="62" fillId="22" borderId="18" xfId="0" applyNumberFormat="1" applyFont="1" applyFill="1" applyBorder="1" applyAlignment="1">
      <alignment horizontal="center" vertical="center" wrapText="1"/>
    </xf>
    <xf numFmtId="180" fontId="64" fillId="2" borderId="3" xfId="0" applyNumberFormat="1" applyFont="1" applyFill="1" applyBorder="1" applyAlignment="1">
      <alignment horizontal="center" vertical="center" wrapText="1"/>
    </xf>
    <xf numFmtId="179" fontId="76" fillId="22" borderId="3" xfId="0" applyNumberFormat="1" applyFont="1" applyFill="1" applyBorder="1" applyAlignment="1">
      <alignment horizontal="center" vertical="center" wrapText="1"/>
    </xf>
    <xf numFmtId="179" fontId="62" fillId="25" borderId="3" xfId="0" applyNumberFormat="1" applyFont="1" applyFill="1" applyBorder="1" applyAlignment="1">
      <alignment horizontal="center" vertical="center" wrapText="1"/>
    </xf>
    <xf numFmtId="179" fontId="74" fillId="2" borderId="18" xfId="0" applyNumberFormat="1" applyFont="1" applyFill="1" applyBorder="1" applyAlignment="1">
      <alignment horizontal="center" vertical="center" wrapText="1"/>
    </xf>
    <xf numFmtId="179" fontId="64" fillId="22" borderId="18" xfId="0" applyNumberFormat="1" applyFont="1" applyFill="1" applyBorder="1" applyAlignment="1">
      <alignment horizontal="center" vertical="center" wrapText="1"/>
    </xf>
    <xf numFmtId="179" fontId="64" fillId="25" borderId="18" xfId="0" applyNumberFormat="1" applyFont="1" applyFill="1" applyBorder="1" applyAlignment="1">
      <alignment horizontal="center" vertical="center" wrapText="1"/>
    </xf>
    <xf numFmtId="164" fontId="84" fillId="0" borderId="0" xfId="0" applyFont="1" applyFill="1" applyBorder="1" applyAlignment="1">
      <alignment horizontal="left" vertical="center" wrapText="1"/>
    </xf>
    <xf numFmtId="165" fontId="84" fillId="0" borderId="0" xfId="0" applyNumberFormat="1" applyFont="1" applyFill="1" applyBorder="1" applyAlignment="1">
      <alignment horizontal="center" vertical="center"/>
    </xf>
    <xf numFmtId="171" fontId="84" fillId="0" borderId="0" xfId="0" applyNumberFormat="1" applyFont="1" applyFill="1" applyBorder="1" applyAlignment="1">
      <alignment horizontal="center" vertical="center" wrapText="1"/>
    </xf>
    <xf numFmtId="171" fontId="84" fillId="22" borderId="0" xfId="0" applyNumberFormat="1" applyFont="1" applyFill="1" applyBorder="1" applyAlignment="1">
      <alignment horizontal="center" vertical="center" wrapText="1"/>
    </xf>
    <xf numFmtId="180" fontId="84" fillId="0" borderId="0" xfId="0" applyNumberFormat="1" applyFont="1" applyFill="1" applyBorder="1" applyAlignment="1">
      <alignment horizontal="center" vertical="center" wrapText="1"/>
    </xf>
    <xf numFmtId="180" fontId="84" fillId="25" borderId="0" xfId="0" applyNumberFormat="1" applyFont="1" applyFill="1" applyBorder="1" applyAlignment="1">
      <alignment horizontal="center" vertical="center" wrapText="1"/>
    </xf>
    <xf numFmtId="171" fontId="85" fillId="0" borderId="0" xfId="0" applyNumberFormat="1" applyFont="1" applyFill="1" applyBorder="1" applyAlignment="1">
      <alignment horizontal="center" vertical="center" wrapText="1"/>
    </xf>
    <xf numFmtId="180" fontId="85" fillId="0" borderId="0" xfId="0" applyNumberFormat="1" applyFont="1" applyFill="1" applyBorder="1" applyAlignment="1">
      <alignment horizontal="center" vertical="center" wrapText="1"/>
    </xf>
    <xf numFmtId="164" fontId="60" fillId="0" borderId="0" xfId="0" applyFont="1" applyFill="1" applyBorder="1" applyAlignment="1">
      <alignment horizontal="left" vertical="center" wrapText="1"/>
    </xf>
    <xf numFmtId="180" fontId="62" fillId="0" borderId="0" xfId="0" applyNumberFormat="1" applyFont="1" applyFill="1" applyBorder="1" applyAlignment="1">
      <alignment horizontal="center" vertical="center" wrapText="1"/>
    </xf>
    <xf numFmtId="164" fontId="59" fillId="0" borderId="0" xfId="0" applyFont="1" applyFill="1" applyAlignment="1">
      <alignment horizontal="center" vertical="center"/>
    </xf>
    <xf numFmtId="164" fontId="58" fillId="0" borderId="0" xfId="0" applyFont="1" applyFill="1" applyAlignment="1">
      <alignment vertical="center"/>
    </xf>
    <xf numFmtId="164" fontId="54" fillId="0" borderId="0" xfId="0" applyFont="1" applyFill="1" applyAlignment="1">
      <alignment vertical="center"/>
    </xf>
    <xf numFmtId="164" fontId="86" fillId="22" borderId="0" xfId="0" applyFont="1" applyFill="1" applyBorder="1" applyAlignment="1">
      <alignment horizontal="right" vertical="center"/>
    </xf>
    <xf numFmtId="164" fontId="54" fillId="22" borderId="0" xfId="0" applyFont="1" applyFill="1" applyBorder="1" applyAlignment="1">
      <alignment horizontal="center" vertical="center"/>
    </xf>
    <xf numFmtId="164" fontId="86" fillId="22" borderId="0" xfId="0" applyFont="1" applyFill="1" applyBorder="1" applyAlignment="1">
      <alignment horizontal="left" vertical="center" wrapText="1"/>
    </xf>
    <xf numFmtId="164" fontId="87" fillId="0" borderId="0" xfId="0" applyFont="1" applyFill="1" applyBorder="1" applyAlignment="1">
      <alignment horizontal="right" vertical="center"/>
    </xf>
    <xf numFmtId="164" fontId="87" fillId="22" borderId="0" xfId="0" applyFont="1" applyFill="1" applyBorder="1" applyAlignment="1">
      <alignment horizontal="center" vertical="center"/>
    </xf>
    <xf numFmtId="164" fontId="87" fillId="22" borderId="0" xfId="0" applyFont="1" applyFill="1" applyBorder="1" applyAlignment="1">
      <alignment vertical="center"/>
    </xf>
    <xf numFmtId="164" fontId="88" fillId="22" borderId="0" xfId="0" applyFont="1" applyFill="1" applyBorder="1" applyAlignment="1">
      <alignment horizontal="left" vertical="center" wrapText="1"/>
    </xf>
    <xf numFmtId="164" fontId="87" fillId="0" borderId="0" xfId="0" applyFont="1" applyFill="1" applyBorder="1" applyAlignment="1">
      <alignment vertical="center"/>
    </xf>
    <xf numFmtId="164" fontId="54" fillId="22" borderId="0" xfId="0" applyFont="1" applyFill="1" applyBorder="1" applyAlignment="1">
      <alignment horizontal="left" vertical="center"/>
    </xf>
    <xf numFmtId="164" fontId="0" fillId="22" borderId="0" xfId="0" applyFill="1" applyAlignment="1">
      <alignment vertical="center"/>
    </xf>
    <xf numFmtId="164" fontId="54" fillId="22" borderId="0" xfId="0" applyFont="1" applyFill="1" applyBorder="1" applyAlignment="1">
      <alignment horizontal="left" vertical="center" wrapText="1"/>
    </xf>
    <xf numFmtId="164" fontId="87" fillId="0" borderId="0" xfId="0" applyFont="1" applyFill="1" applyBorder="1" applyAlignment="1">
      <alignment horizontal="center" vertical="center"/>
    </xf>
    <xf numFmtId="164" fontId="87" fillId="22" borderId="0" xfId="0" applyFont="1" applyFill="1" applyBorder="1" applyAlignment="1">
      <alignment horizontal="right" vertical="center"/>
    </xf>
    <xf numFmtId="164" fontId="87" fillId="22" borderId="23" xfId="0" applyFont="1" applyFill="1" applyBorder="1" applyAlignment="1">
      <alignment horizontal="left" vertical="center"/>
    </xf>
    <xf numFmtId="164" fontId="87" fillId="22" borderId="0" xfId="0" applyFont="1" applyFill="1" applyAlignment="1">
      <alignment horizontal="center" vertical="center"/>
    </xf>
    <xf numFmtId="164" fontId="87" fillId="22" borderId="0" xfId="0" applyFont="1" applyFill="1" applyAlignment="1">
      <alignment horizontal="left" vertical="center"/>
    </xf>
    <xf numFmtId="164" fontId="87" fillId="22" borderId="24" xfId="0" applyFont="1" applyFill="1" applyBorder="1" applyAlignment="1">
      <alignment horizontal="left" vertical="center"/>
    </xf>
    <xf numFmtId="164" fontId="54" fillId="0" borderId="24" xfId="0" applyFont="1" applyFill="1" applyBorder="1" applyAlignment="1">
      <alignment horizontal="left" vertical="center"/>
    </xf>
    <xf numFmtId="164" fontId="54" fillId="0" borderId="24" xfId="0" applyFont="1" applyFill="1" applyBorder="1" applyAlignment="1">
      <alignment vertical="center"/>
    </xf>
    <xf numFmtId="164" fontId="88" fillId="0" borderId="0" xfId="0" applyFont="1" applyFill="1" applyBorder="1" applyAlignment="1">
      <alignment horizontal="left" vertical="center" wrapText="1"/>
    </xf>
    <xf numFmtId="164" fontId="88" fillId="22" borderId="0" xfId="0" applyFont="1" applyFill="1" applyBorder="1" applyAlignment="1">
      <alignment horizontal="center" vertical="center"/>
    </xf>
    <xf numFmtId="164" fontId="87" fillId="22" borderId="0" xfId="0" applyFont="1" applyFill="1" applyBorder="1" applyAlignment="1">
      <alignment horizontal="left" vertical="center"/>
    </xf>
    <xf numFmtId="164" fontId="54" fillId="0" borderId="0" xfId="0" applyFont="1" applyFill="1" applyBorder="1" applyAlignment="1">
      <alignment horizontal="left" vertical="center"/>
    </xf>
    <xf numFmtId="164" fontId="87" fillId="22" borderId="0" xfId="0" applyFont="1" applyFill="1" applyBorder="1" applyAlignment="1">
      <alignment horizontal="left" vertical="center" wrapText="1"/>
    </xf>
    <xf numFmtId="164" fontId="87" fillId="0" borderId="12" xfId="0" applyFont="1" applyFill="1" applyBorder="1" applyAlignment="1">
      <alignment vertical="center"/>
    </xf>
    <xf numFmtId="164" fontId="87" fillId="0" borderId="13" xfId="0" applyFont="1" applyFill="1" applyBorder="1" applyAlignment="1">
      <alignment horizontal="left" vertical="center" wrapText="1"/>
    </xf>
    <xf numFmtId="164" fontId="87" fillId="22" borderId="13" xfId="0" applyFont="1" applyFill="1" applyBorder="1" applyAlignment="1">
      <alignment vertical="center"/>
    </xf>
    <xf numFmtId="164" fontId="87" fillId="22" borderId="14" xfId="0" applyFont="1" applyFill="1" applyBorder="1" applyAlignment="1">
      <alignment vertical="center"/>
    </xf>
    <xf numFmtId="164" fontId="87" fillId="22" borderId="3" xfId="0" applyFont="1" applyFill="1" applyBorder="1" applyAlignment="1">
      <alignment horizontal="left" vertical="center"/>
    </xf>
    <xf numFmtId="164" fontId="87" fillId="22" borderId="3" xfId="0" applyFont="1" applyFill="1" applyBorder="1" applyAlignment="1">
      <alignment horizontal="center" vertical="center"/>
    </xf>
    <xf numFmtId="164" fontId="87" fillId="0" borderId="12" xfId="0" applyFont="1" applyFill="1" applyBorder="1" applyAlignment="1">
      <alignment horizontal="left" vertical="center" wrapText="1"/>
    </xf>
    <xf numFmtId="164" fontId="87" fillId="22" borderId="13" xfId="0" applyFont="1" applyFill="1" applyBorder="1" applyAlignment="1">
      <alignment vertical="center" wrapText="1"/>
    </xf>
    <xf numFmtId="164" fontId="87" fillId="22" borderId="14" xfId="0" applyFont="1" applyFill="1" applyBorder="1" applyAlignment="1">
      <alignment vertical="center" wrapText="1"/>
    </xf>
    <xf numFmtId="164" fontId="87" fillId="22" borderId="3" xfId="0" applyFont="1" applyFill="1" applyBorder="1" applyAlignment="1">
      <alignment vertical="center"/>
    </xf>
    <xf numFmtId="164" fontId="87" fillId="22" borderId="25" xfId="0" applyFont="1" applyFill="1" applyBorder="1" applyAlignment="1">
      <alignment vertical="center" wrapText="1"/>
    </xf>
    <xf numFmtId="164" fontId="87" fillId="22" borderId="16" xfId="0" applyFont="1" applyFill="1" applyBorder="1" applyAlignment="1">
      <alignment vertical="center"/>
    </xf>
    <xf numFmtId="164" fontId="87" fillId="22" borderId="14" xfId="0" applyFont="1" applyFill="1" applyBorder="1" applyAlignment="1">
      <alignment horizontal="right" vertical="center" wrapText="1"/>
    </xf>
    <xf numFmtId="164" fontId="87" fillId="22" borderId="3" xfId="0" applyFont="1" applyFill="1" applyBorder="1" applyAlignment="1">
      <alignment vertical="center" wrapText="1"/>
    </xf>
    <xf numFmtId="164" fontId="87" fillId="22" borderId="14" xfId="0" applyFont="1" applyFill="1" applyBorder="1" applyAlignment="1">
      <alignment horizontal="left" vertical="center" wrapText="1"/>
    </xf>
    <xf numFmtId="164" fontId="80" fillId="0" borderId="0" xfId="0" applyFont="1" applyFill="1" applyBorder="1" applyAlignment="1">
      <alignment horizontal="center" vertical="center"/>
    </xf>
    <xf numFmtId="164" fontId="80" fillId="22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horizontal="left" vertical="center"/>
    </xf>
    <xf numFmtId="164" fontId="54" fillId="22" borderId="0" xfId="0" applyFont="1" applyFill="1" applyAlignment="1">
      <alignment horizontal="center" vertical="center"/>
    </xf>
    <xf numFmtId="164" fontId="54" fillId="22" borderId="0" xfId="0" applyFont="1" applyFill="1" applyAlignment="1">
      <alignment horizontal="left" vertical="center"/>
    </xf>
    <xf numFmtId="164" fontId="68" fillId="0" borderId="3" xfId="0" applyFont="1" applyFill="1" applyBorder="1" applyAlignment="1">
      <alignment horizontal="center" vertical="center"/>
    </xf>
    <xf numFmtId="164" fontId="68" fillId="0" borderId="3" xfId="0" applyFont="1" applyFill="1" applyBorder="1" applyAlignment="1">
      <alignment horizontal="center" vertical="center" wrapText="1"/>
    </xf>
    <xf numFmtId="164" fontId="68" fillId="22" borderId="3" xfId="0" applyFont="1" applyFill="1" applyBorder="1" applyAlignment="1">
      <alignment horizontal="center" vertical="center" wrapText="1"/>
    </xf>
    <xf numFmtId="164" fontId="68" fillId="22" borderId="3" xfId="0" applyFont="1" applyFill="1" applyBorder="1" applyAlignment="1">
      <alignment horizontal="center" vertical="center" wrapText="1" shrinkToFit="1"/>
    </xf>
    <xf numFmtId="164" fontId="89" fillId="0" borderId="3" xfId="0" applyFont="1" applyFill="1" applyBorder="1" applyAlignment="1">
      <alignment horizontal="center" vertical="center" wrapText="1"/>
    </xf>
    <xf numFmtId="164" fontId="54" fillId="0" borderId="3" xfId="201" applyNumberFormat="1" applyFont="1" applyFill="1" applyBorder="1" applyAlignment="1">
      <alignment vertical="center" wrapText="1"/>
      <protection locked="0"/>
    </xf>
    <xf numFmtId="164" fontId="54" fillId="0" borderId="3" xfId="0" applyFont="1" applyFill="1" applyBorder="1" applyAlignment="1">
      <alignment horizontal="center" vertical="center"/>
    </xf>
    <xf numFmtId="182" fontId="54" fillId="22" borderId="3" xfId="0" applyNumberFormat="1" applyFont="1" applyFill="1" applyBorder="1" applyAlignment="1">
      <alignment horizontal="center" vertical="center" wrapText="1"/>
    </xf>
    <xf numFmtId="164" fontId="80" fillId="0" borderId="3" xfId="201" applyNumberFormat="1" applyFont="1" applyFill="1" applyBorder="1" applyAlignment="1">
      <alignment vertical="center" wrapText="1"/>
      <protection locked="0"/>
    </xf>
    <xf numFmtId="182" fontId="80" fillId="22" borderId="3" xfId="0" applyNumberFormat="1" applyFont="1" applyFill="1" applyBorder="1" applyAlignment="1">
      <alignment horizontal="center" vertical="center" wrapText="1"/>
    </xf>
    <xf numFmtId="164" fontId="80" fillId="0" borderId="3" xfId="0" applyFont="1" applyFill="1" applyBorder="1" applyAlignment="1">
      <alignment vertical="center" wrapText="1"/>
    </xf>
    <xf numFmtId="164" fontId="54" fillId="0" borderId="3" xfId="0" applyFont="1" applyFill="1" applyBorder="1" applyAlignment="1">
      <alignment horizontal="left" vertical="center" wrapText="1"/>
    </xf>
    <xf numFmtId="164" fontId="80" fillId="0" borderId="3" xfId="0" applyFont="1" applyFill="1" applyBorder="1" applyAlignment="1" applyProtection="1">
      <alignment vertical="center" wrapText="1"/>
      <protection locked="0"/>
    </xf>
    <xf numFmtId="164" fontId="54" fillId="0" borderId="3" xfId="0" applyFont="1" applyFill="1" applyBorder="1" applyAlignment="1">
      <alignment horizontal="center" vertical="center" wrapText="1"/>
    </xf>
    <xf numFmtId="164" fontId="80" fillId="0" borderId="3" xfId="0" applyFont="1" applyFill="1" applyBorder="1" applyAlignment="1">
      <alignment horizontal="center" vertical="center"/>
    </xf>
    <xf numFmtId="164" fontId="80" fillId="0" borderId="3" xfId="0" applyFont="1" applyFill="1" applyBorder="1" applyAlignment="1" applyProtection="1">
      <alignment horizontal="left" vertical="center" wrapText="1"/>
      <protection locked="0"/>
    </xf>
    <xf numFmtId="164" fontId="54" fillId="22" borderId="3" xfId="0" applyFont="1" applyFill="1" applyBorder="1" applyAlignment="1">
      <alignment horizontal="center" vertical="center"/>
    </xf>
    <xf numFmtId="164" fontId="90" fillId="0" borderId="0" xfId="0" applyFont="1" applyBorder="1" applyAlignment="1">
      <alignment horizontal="right" vertical="center"/>
    </xf>
    <xf numFmtId="164" fontId="91" fillId="0" borderId="3" xfId="0" applyFont="1" applyFill="1" applyBorder="1" applyAlignment="1">
      <alignment horizontal="center" vertical="center"/>
    </xf>
    <xf numFmtId="164" fontId="91" fillId="0" borderId="3" xfId="0" applyFont="1" applyFill="1" applyBorder="1" applyAlignment="1">
      <alignment horizontal="center" vertical="center" wrapText="1"/>
    </xf>
    <xf numFmtId="164" fontId="91" fillId="22" borderId="3" xfId="0" applyFont="1" applyFill="1" applyBorder="1" applyAlignment="1">
      <alignment horizontal="center" vertical="center" wrapText="1"/>
    </xf>
    <xf numFmtId="164" fontId="54" fillId="22" borderId="3" xfId="0" applyFont="1" applyFill="1" applyBorder="1" applyAlignment="1">
      <alignment horizontal="left" vertical="center" wrapText="1"/>
    </xf>
    <xf numFmtId="164" fontId="54" fillId="22" borderId="3" xfId="264" applyFont="1" applyFill="1" applyBorder="1" applyAlignment="1">
      <alignment horizontal="left" vertical="center" wrapText="1"/>
      <protection/>
    </xf>
    <xf numFmtId="164" fontId="54" fillId="22" borderId="3" xfId="0" applyFont="1" applyFill="1" applyBorder="1" applyAlignment="1">
      <alignment horizontal="center" vertical="center" wrapText="1"/>
    </xf>
    <xf numFmtId="164" fontId="54" fillId="22" borderId="3" xfId="264" applyFont="1" applyFill="1" applyBorder="1" applyAlignment="1">
      <alignment horizontal="center" vertical="center"/>
      <protection/>
    </xf>
    <xf numFmtId="164" fontId="54" fillId="22" borderId="3" xfId="0" applyFont="1" applyFill="1" applyBorder="1" applyAlignment="1" applyProtection="1">
      <alignment horizontal="left" vertical="center" wrapText="1"/>
      <protection locked="0"/>
    </xf>
    <xf numFmtId="164" fontId="80" fillId="22" borderId="3" xfId="0" applyFont="1" applyFill="1" applyBorder="1" applyAlignment="1" applyProtection="1">
      <alignment horizontal="left" vertical="center" wrapText="1"/>
      <protection locked="0"/>
    </xf>
    <xf numFmtId="180" fontId="80" fillId="22" borderId="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 applyProtection="1">
      <alignment horizontal="left" vertical="center" wrapText="1"/>
      <protection locked="0"/>
    </xf>
    <xf numFmtId="180" fontId="54" fillId="22" borderId="3" xfId="0" applyNumberFormat="1" applyFont="1" applyFill="1" applyBorder="1" applyAlignment="1">
      <alignment horizontal="center" vertical="center" wrapText="1"/>
    </xf>
    <xf numFmtId="164" fontId="80" fillId="0" borderId="18" xfId="0" applyFont="1" applyFill="1" applyBorder="1" applyAlignment="1" applyProtection="1">
      <alignment horizontal="left" vertical="center" wrapText="1"/>
      <protection locked="0"/>
    </xf>
    <xf numFmtId="182" fontId="92" fillId="22" borderId="3" xfId="0" applyNumberFormat="1" applyFont="1" applyFill="1" applyBorder="1" applyAlignment="1">
      <alignment horizontal="center" vertical="center" wrapText="1"/>
    </xf>
    <xf numFmtId="182" fontId="93" fillId="22" borderId="3" xfId="0" applyNumberFormat="1" applyFont="1" applyFill="1" applyBorder="1" applyAlignment="1">
      <alignment horizontal="center" vertical="center" wrapText="1"/>
    </xf>
    <xf numFmtId="164" fontId="80" fillId="0" borderId="16" xfId="0" applyFont="1" applyFill="1" applyBorder="1" applyAlignment="1" applyProtection="1">
      <alignment horizontal="left" vertical="center" wrapText="1"/>
      <protection locked="0"/>
    </xf>
    <xf numFmtId="164" fontId="80" fillId="0" borderId="3" xfId="0" applyFont="1" applyFill="1" applyBorder="1" applyAlignment="1" applyProtection="1">
      <alignment horizontal="center"/>
      <protection locked="0"/>
    </xf>
    <xf numFmtId="164" fontId="80" fillId="0" borderId="3" xfId="256" applyNumberFormat="1" applyFont="1" applyFill="1" applyBorder="1" applyAlignment="1">
      <alignment horizontal="center" vertical="center" wrapText="1"/>
      <protection/>
    </xf>
    <xf numFmtId="164" fontId="54" fillId="0" borderId="18" xfId="0" applyFont="1" applyFill="1" applyBorder="1" applyAlignment="1" applyProtection="1">
      <alignment horizontal="left" vertical="center" wrapText="1"/>
      <protection locked="0"/>
    </xf>
    <xf numFmtId="164" fontId="54" fillId="0" borderId="18" xfId="0" applyFont="1" applyFill="1" applyBorder="1" applyAlignment="1">
      <alignment horizontal="center" vertical="center"/>
    </xf>
    <xf numFmtId="182" fontId="54" fillId="22" borderId="3" xfId="256" applyNumberFormat="1" applyFont="1" applyFill="1" applyBorder="1" applyAlignment="1">
      <alignment horizontal="center" vertical="center" wrapText="1"/>
      <protection/>
    </xf>
    <xf numFmtId="182" fontId="56" fillId="22" borderId="3" xfId="0" applyNumberFormat="1" applyFont="1" applyFill="1" applyBorder="1" applyAlignment="1">
      <alignment horizontal="center" vertical="center" wrapText="1"/>
    </xf>
    <xf numFmtId="165" fontId="54" fillId="0" borderId="18" xfId="0" applyNumberFormat="1" applyFont="1" applyFill="1" applyBorder="1" applyAlignment="1">
      <alignment horizontal="center" vertical="center"/>
    </xf>
    <xf numFmtId="165" fontId="54" fillId="0" borderId="3" xfId="0" applyNumberFormat="1" applyFont="1" applyFill="1" applyBorder="1" applyAlignment="1">
      <alignment horizontal="center" vertical="center"/>
    </xf>
    <xf numFmtId="164" fontId="54" fillId="0" borderId="16" xfId="0" applyFont="1" applyFill="1" applyBorder="1" applyAlignment="1" applyProtection="1">
      <alignment horizontal="left" vertical="center" wrapText="1"/>
      <protection locked="0"/>
    </xf>
    <xf numFmtId="165" fontId="54" fillId="0" borderId="16" xfId="0" applyNumberFormat="1" applyFont="1" applyFill="1" applyBorder="1" applyAlignment="1">
      <alignment horizontal="center" vertical="center"/>
    </xf>
    <xf numFmtId="171" fontId="80" fillId="22" borderId="3" xfId="0" applyNumberFormat="1" applyFont="1" applyFill="1" applyBorder="1" applyAlignment="1">
      <alignment horizontal="center" vertical="center" wrapText="1"/>
    </xf>
    <xf numFmtId="171" fontId="80" fillId="22" borderId="3" xfId="0" applyNumberFormat="1" applyFont="1" applyFill="1" applyBorder="1" applyAlignment="1">
      <alignment vertical="center" wrapText="1"/>
    </xf>
    <xf numFmtId="171" fontId="54" fillId="22" borderId="3" xfId="0" applyNumberFormat="1" applyFont="1" applyFill="1" applyBorder="1" applyAlignment="1">
      <alignment horizontal="center" vertical="center" wrapText="1"/>
    </xf>
    <xf numFmtId="164" fontId="54" fillId="22" borderId="3" xfId="0" applyNumberFormat="1" applyFont="1" applyFill="1" applyBorder="1" applyAlignment="1">
      <alignment vertical="center" wrapText="1"/>
    </xf>
    <xf numFmtId="179" fontId="54" fillId="22" borderId="3" xfId="0" applyNumberFormat="1" applyFont="1" applyFill="1" applyBorder="1" applyAlignment="1">
      <alignment horizontal="center" vertical="center" wrapText="1"/>
    </xf>
    <xf numFmtId="183" fontId="54" fillId="22" borderId="3" xfId="0" applyNumberFormat="1" applyFont="1" applyFill="1" applyBorder="1" applyAlignment="1">
      <alignment horizontal="center" vertical="center" wrapText="1"/>
    </xf>
    <xf numFmtId="171" fontId="54" fillId="22" borderId="3" xfId="0" applyNumberFormat="1" applyFont="1" applyFill="1" applyBorder="1" applyAlignment="1">
      <alignment vertical="center" wrapText="1"/>
    </xf>
    <xf numFmtId="164" fontId="54" fillId="0" borderId="15" xfId="0" applyFont="1" applyFill="1" applyBorder="1" applyAlignment="1">
      <alignment horizontal="left" vertical="center" wrapText="1"/>
    </xf>
    <xf numFmtId="165" fontId="54" fillId="0" borderId="26" xfId="0" applyNumberFormat="1" applyFont="1" applyFill="1" applyBorder="1" applyAlignment="1">
      <alignment horizontal="center" vertical="center"/>
    </xf>
    <xf numFmtId="171" fontId="54" fillId="22" borderId="27" xfId="0" applyNumberFormat="1" applyFont="1" applyFill="1" applyBorder="1" applyAlignment="1">
      <alignment horizontal="center" vertical="center" wrapText="1"/>
    </xf>
    <xf numFmtId="179" fontId="54" fillId="22" borderId="27" xfId="0" applyNumberFormat="1" applyFont="1" applyFill="1" applyBorder="1" applyAlignment="1">
      <alignment horizontal="center" vertical="center" wrapText="1"/>
    </xf>
    <xf numFmtId="183" fontId="54" fillId="22" borderId="27" xfId="0" applyNumberFormat="1" applyFont="1" applyFill="1" applyBorder="1" applyAlignment="1">
      <alignment horizontal="center" vertical="center" wrapText="1"/>
    </xf>
    <xf numFmtId="183" fontId="54" fillId="22" borderId="28" xfId="0" applyNumberFormat="1" applyFont="1" applyFill="1" applyBorder="1" applyAlignment="1">
      <alignment horizontal="center" vertical="center" wrapText="1"/>
    </xf>
    <xf numFmtId="184" fontId="80" fillId="22" borderId="3" xfId="0" applyNumberFormat="1" applyFont="1" applyFill="1" applyBorder="1" applyAlignment="1">
      <alignment horizontal="center" vertical="center" wrapText="1"/>
    </xf>
    <xf numFmtId="184" fontId="54" fillId="22" borderId="3" xfId="0" applyNumberFormat="1" applyFont="1" applyFill="1" applyBorder="1" applyAlignment="1">
      <alignment horizontal="center" vertical="center" wrapText="1"/>
    </xf>
    <xf numFmtId="164" fontId="80" fillId="0" borderId="0" xfId="0" applyFont="1" applyFill="1" applyBorder="1" applyAlignment="1" applyProtection="1">
      <alignment horizontal="left" vertical="center"/>
      <protection locked="0"/>
    </xf>
    <xf numFmtId="180" fontId="80" fillId="22" borderId="0" xfId="0" applyNumberFormat="1" applyFont="1" applyFill="1" applyBorder="1" applyAlignment="1">
      <alignment horizontal="center" vertical="center" wrapText="1"/>
    </xf>
    <xf numFmtId="180" fontId="80" fillId="22" borderId="0" xfId="0" applyNumberFormat="1" applyFont="1" applyFill="1" applyBorder="1" applyAlignment="1">
      <alignment horizontal="right" vertical="center" wrapText="1"/>
    </xf>
    <xf numFmtId="180" fontId="54" fillId="22" borderId="0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left" vertical="center" wrapText="1"/>
    </xf>
    <xf numFmtId="180" fontId="54" fillId="22" borderId="24" xfId="0" applyNumberFormat="1" applyFont="1" applyFill="1" applyBorder="1" applyAlignment="1">
      <alignment horizontal="center" vertical="center" wrapText="1"/>
    </xf>
    <xf numFmtId="180" fontId="90" fillId="22" borderId="0" xfId="0" applyNumberFormat="1" applyFont="1" applyFill="1" applyBorder="1" applyAlignment="1">
      <alignment vertical="center"/>
    </xf>
    <xf numFmtId="164" fontId="80" fillId="0" borderId="0" xfId="0" applyFont="1" applyFill="1" applyBorder="1" applyAlignment="1">
      <alignment horizontal="left" vertical="center" wrapText="1"/>
    </xf>
    <xf numFmtId="164" fontId="87" fillId="0" borderId="0" xfId="0" applyFont="1" applyFill="1" applyBorder="1" applyAlignment="1">
      <alignment horizontal="left" vertical="center"/>
    </xf>
    <xf numFmtId="164" fontId="87" fillId="22" borderId="23" xfId="0" applyFont="1" applyFill="1" applyBorder="1" applyAlignment="1">
      <alignment horizontal="center" vertical="center"/>
    </xf>
    <xf numFmtId="164" fontId="87" fillId="0" borderId="24" xfId="0" applyFont="1" applyFill="1" applyBorder="1" applyAlignment="1">
      <alignment vertical="center"/>
    </xf>
    <xf numFmtId="164" fontId="87" fillId="0" borderId="23" xfId="0" applyFont="1" applyFill="1" applyBorder="1" applyAlignment="1">
      <alignment horizontal="center" vertical="center"/>
    </xf>
    <xf numFmtId="164" fontId="87" fillId="0" borderId="24" xfId="0" applyFont="1" applyFill="1" applyBorder="1" applyAlignment="1">
      <alignment horizontal="center" vertical="center"/>
    </xf>
    <xf numFmtId="164" fontId="80" fillId="0" borderId="0" xfId="0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center" vertical="center" wrapText="1"/>
    </xf>
    <xf numFmtId="164" fontId="80" fillId="22" borderId="0" xfId="0" applyFont="1" applyFill="1" applyBorder="1" applyAlignment="1">
      <alignment horizontal="center" vertical="center" wrapText="1"/>
    </xf>
    <xf numFmtId="164" fontId="54" fillId="22" borderId="0" xfId="0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center" vertical="center"/>
    </xf>
    <xf numFmtId="164" fontId="54" fillId="0" borderId="3" xfId="0" applyFont="1" applyFill="1" applyBorder="1" applyAlignment="1">
      <alignment horizontal="center" vertical="center" wrapText="1"/>
    </xf>
    <xf numFmtId="164" fontId="54" fillId="22" borderId="3" xfId="0" applyFont="1" applyFill="1" applyBorder="1" applyAlignment="1">
      <alignment horizontal="center" vertical="center" wrapText="1"/>
    </xf>
    <xf numFmtId="164" fontId="54" fillId="22" borderId="3" xfId="0" applyFont="1" applyFill="1" applyBorder="1" applyAlignment="1">
      <alignment horizontal="center" vertical="center" wrapText="1" shrinkToFit="1"/>
    </xf>
    <xf numFmtId="164" fontId="80" fillId="0" borderId="3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horizontal="left" vertical="center" wrapText="1"/>
    </xf>
    <xf numFmtId="180" fontId="54" fillId="22" borderId="3" xfId="0" applyNumberFormat="1" applyFont="1" applyFill="1" applyBorder="1" applyAlignment="1">
      <alignment horizontal="center" vertical="center" wrapText="1"/>
    </xf>
    <xf numFmtId="165" fontId="80" fillId="0" borderId="3" xfId="0" applyNumberFormat="1" applyFont="1" applyFill="1" applyBorder="1" applyAlignment="1">
      <alignment horizontal="left" vertical="center" wrapText="1"/>
    </xf>
    <xf numFmtId="165" fontId="54" fillId="0" borderId="3" xfId="0" applyNumberFormat="1" applyFont="1" applyFill="1" applyBorder="1" applyAlignment="1">
      <alignment horizontal="left" vertical="center" wrapText="1"/>
    </xf>
    <xf numFmtId="164" fontId="80" fillId="0" borderId="3" xfId="0" applyFont="1" applyFill="1" applyBorder="1" applyAlignment="1">
      <alignment horizontal="center" vertical="center"/>
    </xf>
    <xf numFmtId="180" fontId="80" fillId="22" borderId="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left" vertical="top" wrapText="1"/>
    </xf>
    <xf numFmtId="164" fontId="54" fillId="22" borderId="3" xfId="0" applyFont="1" applyFill="1" applyBorder="1" applyAlignment="1">
      <alignment horizontal="left" vertical="center" wrapText="1"/>
    </xf>
    <xf numFmtId="164" fontId="54" fillId="22" borderId="3" xfId="0" applyFont="1" applyFill="1" applyBorder="1" applyAlignment="1">
      <alignment horizontal="center" vertical="center"/>
    </xf>
    <xf numFmtId="164" fontId="54" fillId="22" borderId="3" xfId="0" applyFont="1" applyFill="1" applyBorder="1" applyAlignment="1">
      <alignment horizontal="left" vertical="top" wrapText="1"/>
    </xf>
    <xf numFmtId="164" fontId="54" fillId="0" borderId="3" xfId="0" applyFont="1" applyFill="1" applyBorder="1" applyAlignment="1">
      <alignment horizontal="left" vertical="center" wrapText="1" shrinkToFit="1"/>
    </xf>
    <xf numFmtId="180" fontId="83" fillId="22" borderId="3" xfId="0" applyNumberFormat="1" applyFont="1" applyFill="1" applyBorder="1" applyAlignment="1">
      <alignment horizontal="center" vertical="center" wrapText="1"/>
    </xf>
    <xf numFmtId="179" fontId="83" fillId="22" borderId="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/>
    </xf>
    <xf numFmtId="164" fontId="80" fillId="0" borderId="3" xfId="0" applyFont="1" applyFill="1" applyBorder="1" applyAlignment="1">
      <alignment horizontal="center"/>
    </xf>
    <xf numFmtId="164" fontId="80" fillId="0" borderId="0" xfId="0" applyFont="1" applyFill="1" applyBorder="1" applyAlignment="1">
      <alignment horizontal="left" vertical="center" wrapText="1"/>
    </xf>
    <xf numFmtId="164" fontId="80" fillId="0" borderId="0" xfId="0" applyFont="1" applyFill="1" applyBorder="1" applyAlignment="1">
      <alignment horizontal="center"/>
    </xf>
    <xf numFmtId="185" fontId="80" fillId="22" borderId="0" xfId="0" applyNumberFormat="1" applyFont="1" applyFill="1" applyBorder="1" applyAlignment="1">
      <alignment horizontal="center" vertical="center" wrapText="1"/>
    </xf>
    <xf numFmtId="165" fontId="80" fillId="0" borderId="0" xfId="0" applyNumberFormat="1" applyFont="1" applyFill="1" applyBorder="1" applyAlignment="1">
      <alignment horizontal="left" vertical="center" wrapText="1"/>
    </xf>
    <xf numFmtId="164" fontId="54" fillId="0" borderId="0" xfId="0" applyFont="1" applyFill="1" applyBorder="1" applyAlignment="1">
      <alignment horizontal="left" vertical="center" wrapText="1"/>
    </xf>
    <xf numFmtId="164" fontId="54" fillId="0" borderId="0" xfId="0" applyFont="1" applyFill="1" applyBorder="1" applyAlignment="1">
      <alignment horizontal="center" vertical="center"/>
    </xf>
    <xf numFmtId="180" fontId="54" fillId="22" borderId="0" xfId="0" applyNumberFormat="1" applyFont="1" applyFill="1" applyBorder="1" applyAlignment="1">
      <alignment horizontal="center" vertical="center" wrapText="1"/>
    </xf>
    <xf numFmtId="180" fontId="54" fillId="22" borderId="0" xfId="0" applyNumberFormat="1" applyFont="1" applyFill="1" applyBorder="1" applyAlignment="1">
      <alignment horizontal="right" vertical="center" wrapText="1"/>
    </xf>
    <xf numFmtId="180" fontId="54" fillId="22" borderId="0" xfId="0" applyNumberFormat="1" applyFont="1" applyFill="1" applyBorder="1" applyAlignment="1">
      <alignment horizontal="left" vertical="center" wrapText="1"/>
    </xf>
    <xf numFmtId="180" fontId="90" fillId="22" borderId="0" xfId="0" applyNumberFormat="1" applyFont="1" applyFill="1" applyBorder="1" applyAlignment="1">
      <alignment vertical="center"/>
    </xf>
    <xf numFmtId="164" fontId="54" fillId="22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left" vertical="center"/>
    </xf>
    <xf numFmtId="164" fontId="54" fillId="22" borderId="0" xfId="0" applyFont="1" applyFill="1" applyBorder="1" applyAlignment="1">
      <alignment horizontal="left" vertical="center"/>
    </xf>
    <xf numFmtId="164" fontId="54" fillId="22" borderId="0" xfId="0" applyFont="1" applyFill="1" applyAlignment="1">
      <alignment horizontal="left" vertical="center"/>
    </xf>
    <xf numFmtId="164" fontId="54" fillId="22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/>
    </xf>
    <xf numFmtId="164" fontId="80" fillId="0" borderId="0" xfId="0" applyFont="1" applyFill="1" applyBorder="1" applyAlignment="1">
      <alignment horizontal="center" vertical="center"/>
    </xf>
    <xf numFmtId="164" fontId="54" fillId="0" borderId="3" xfId="0" applyFont="1" applyFill="1" applyBorder="1" applyAlignment="1">
      <alignment horizontal="center" vertical="center" wrapText="1" shrinkToFit="1"/>
    </xf>
    <xf numFmtId="164" fontId="80" fillId="22" borderId="3" xfId="0" applyFont="1" applyFill="1" applyBorder="1" applyAlignment="1">
      <alignment horizontal="left" vertical="center" wrapText="1"/>
    </xf>
    <xf numFmtId="164" fontId="54" fillId="22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 wrapText="1"/>
    </xf>
    <xf numFmtId="180" fontId="54" fillId="0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/>
    </xf>
    <xf numFmtId="168" fontId="54" fillId="0" borderId="3" xfId="0" applyNumberFormat="1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horizontal="center" vertical="center"/>
    </xf>
    <xf numFmtId="164" fontId="60" fillId="0" borderId="0" xfId="0" applyFont="1" applyFill="1" applyBorder="1" applyAlignment="1">
      <alignment horizontal="center" vertical="center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vertical="center" wrapText="1"/>
    </xf>
    <xf numFmtId="164" fontId="70" fillId="22" borderId="0" xfId="0" applyFont="1" applyFill="1" applyBorder="1" applyAlignment="1">
      <alignment vertical="center" wrapText="1"/>
    </xf>
    <xf numFmtId="164" fontId="60" fillId="0" borderId="0" xfId="0" applyFont="1" applyFill="1" applyBorder="1" applyAlignment="1">
      <alignment vertical="center" wrapText="1"/>
    </xf>
    <xf numFmtId="164" fontId="60" fillId="0" borderId="0" xfId="0" applyFont="1" applyFill="1" applyAlignment="1">
      <alignment vertical="center" wrapText="1"/>
    </xf>
    <xf numFmtId="164" fontId="60" fillId="22" borderId="0" xfId="0" applyFont="1" applyFill="1" applyAlignment="1">
      <alignment vertical="center" wrapText="1"/>
    </xf>
    <xf numFmtId="164" fontId="60" fillId="0" borderId="3" xfId="0" applyFont="1" applyFill="1" applyBorder="1" applyAlignment="1">
      <alignment horizontal="center" vertical="center"/>
    </xf>
    <xf numFmtId="164" fontId="60" fillId="22" borderId="3" xfId="0" applyFont="1" applyFill="1" applyBorder="1" applyAlignment="1">
      <alignment horizontal="center" vertical="center" wrapText="1"/>
    </xf>
    <xf numFmtId="164" fontId="70" fillId="0" borderId="3" xfId="0" applyFont="1" applyFill="1" applyBorder="1" applyAlignment="1">
      <alignment horizontal="left" vertical="center" wrapText="1"/>
    </xf>
    <xf numFmtId="186" fontId="70" fillId="22" borderId="3" xfId="0" applyNumberFormat="1" applyFont="1" applyFill="1" applyBorder="1" applyAlignment="1">
      <alignment horizontal="center" vertical="center" wrapText="1"/>
    </xf>
    <xf numFmtId="186" fontId="70" fillId="22" borderId="3" xfId="0" applyNumberFormat="1" applyFont="1" applyFill="1" applyBorder="1" applyAlignment="1">
      <alignment vertical="center" wrapText="1"/>
    </xf>
    <xf numFmtId="187" fontId="70" fillId="22" borderId="3" xfId="0" applyNumberFormat="1" applyFont="1" applyFill="1" applyBorder="1" applyAlignment="1">
      <alignment horizontal="center" vertical="center" wrapText="1"/>
    </xf>
    <xf numFmtId="164" fontId="60" fillId="0" borderId="3" xfId="0" applyFont="1" applyFill="1" applyBorder="1" applyAlignment="1">
      <alignment horizontal="left" vertical="center" wrapText="1"/>
    </xf>
    <xf numFmtId="186" fontId="60" fillId="22" borderId="3" xfId="0" applyNumberFormat="1" applyFont="1" applyFill="1" applyBorder="1" applyAlignment="1">
      <alignment horizontal="center" vertical="center" wrapText="1"/>
    </xf>
    <xf numFmtId="187" fontId="70" fillId="22" borderId="3" xfId="0" applyNumberFormat="1" applyFont="1" applyFill="1" applyBorder="1" applyAlignment="1">
      <alignment horizontal="right" vertical="center" wrapText="1"/>
    </xf>
    <xf numFmtId="186" fontId="60" fillId="22" borderId="3" xfId="0" applyNumberFormat="1" applyFont="1" applyFill="1" applyBorder="1" applyAlignment="1">
      <alignment vertical="center" wrapText="1"/>
    </xf>
    <xf numFmtId="180" fontId="70" fillId="22" borderId="3" xfId="0" applyNumberFormat="1" applyFont="1" applyFill="1" applyBorder="1" applyAlignment="1">
      <alignment horizontal="right" vertical="center" wrapText="1"/>
    </xf>
    <xf numFmtId="180" fontId="60" fillId="22" borderId="3" xfId="0" applyNumberFormat="1" applyFont="1" applyFill="1" applyBorder="1" applyAlignment="1">
      <alignment vertical="center" wrapText="1"/>
    </xf>
    <xf numFmtId="180" fontId="60" fillId="22" borderId="3" xfId="0" applyNumberFormat="1" applyFont="1" applyFill="1" applyBorder="1" applyAlignment="1">
      <alignment horizontal="right" vertical="center" wrapText="1"/>
    </xf>
    <xf numFmtId="179" fontId="70" fillId="22" borderId="3" xfId="0" applyNumberFormat="1" applyFont="1" applyFill="1" applyBorder="1" applyAlignment="1">
      <alignment horizontal="right" vertical="center" wrapText="1"/>
    </xf>
    <xf numFmtId="179" fontId="60" fillId="22" borderId="3" xfId="0" applyNumberFormat="1" applyFont="1" applyFill="1" applyBorder="1" applyAlignment="1">
      <alignment horizontal="right" vertical="center" wrapText="1"/>
    </xf>
    <xf numFmtId="164" fontId="60" fillId="0" borderId="0" xfId="0" applyFont="1" applyFill="1" applyBorder="1" applyAlignment="1">
      <alignment/>
    </xf>
    <xf numFmtId="164" fontId="60" fillId="22" borderId="0" xfId="0" applyFont="1" applyFill="1" applyBorder="1" applyAlignment="1">
      <alignment horizontal="left" vertical="center" wrapText="1" shrinkToFit="1"/>
    </xf>
    <xf numFmtId="164" fontId="60" fillId="0" borderId="0" xfId="0" applyFont="1" applyFill="1" applyBorder="1" applyAlignment="1">
      <alignment horizontal="justify" vertical="center" wrapText="1" shrinkToFit="1"/>
    </xf>
  </cellXfs>
  <cellStyles count="3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-Hide" xfId="171"/>
    <cellStyle name="Level3-Numbers_План департамент_2010_1207" xfId="172"/>
    <cellStyle name="Level3_План департамент_2010_1207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rmal_GSE DCF_Model_31_07_09 final" xfId="201"/>
    <cellStyle name="Note" xfId="202"/>
    <cellStyle name="Number-Cells" xfId="203"/>
    <cellStyle name="Number-Cells-Column2" xfId="204"/>
    <cellStyle name="Number-Cells-Column5" xfId="205"/>
    <cellStyle name="Output" xfId="206"/>
    <cellStyle name="Row-Header" xfId="207"/>
    <cellStyle name="Row-Header 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Ввод  2" xfId="224"/>
    <cellStyle name="Ввод  3" xfId="225"/>
    <cellStyle name="Вывод 2" xfId="226"/>
    <cellStyle name="Вывод 3" xfId="227"/>
    <cellStyle name="Вычисление 2" xfId="228"/>
    <cellStyle name="Вычисление 3" xfId="229"/>
    <cellStyle name="Денежный 2" xfId="230"/>
    <cellStyle name="Заголовок 1 2" xfId="231"/>
    <cellStyle name="Заголовок 1 3" xfId="232"/>
    <cellStyle name="Заголовок 2 2" xfId="233"/>
    <cellStyle name="Заголовок 2 3" xfId="234"/>
    <cellStyle name="Заголовок 3 2" xfId="235"/>
    <cellStyle name="Заголовок 3 3" xfId="236"/>
    <cellStyle name="Заголовок 4 2" xfId="237"/>
    <cellStyle name="Заголовок 4 3" xfId="238"/>
    <cellStyle name="Итог 2" xfId="239"/>
    <cellStyle name="Итог 3" xfId="240"/>
    <cellStyle name="Контрольная ячейка 2" xfId="241"/>
    <cellStyle name="Контрольная ячейка 3" xfId="242"/>
    <cellStyle name="Название 2" xfId="243"/>
    <cellStyle name="Название 3" xfId="244"/>
    <cellStyle name="Нейтральный 2" xfId="245"/>
    <cellStyle name="Нейтральный 3" xfId="246"/>
    <cellStyle name="Обычный 10" xfId="247"/>
    <cellStyle name="Обычный 11" xfId="248"/>
    <cellStyle name="Обычный 12" xfId="249"/>
    <cellStyle name="Обычный 13" xfId="250"/>
    <cellStyle name="Обычный 14" xfId="251"/>
    <cellStyle name="Обычный 15" xfId="252"/>
    <cellStyle name="Обычный 16" xfId="253"/>
    <cellStyle name="Обычный 17" xfId="254"/>
    <cellStyle name="Обычный 18" xfId="255"/>
    <cellStyle name="Обычный 2" xfId="256"/>
    <cellStyle name="Обычный 2 10" xfId="257"/>
    <cellStyle name="Обычный 2 11" xfId="258"/>
    <cellStyle name="Обычный 2 12" xfId="259"/>
    <cellStyle name="Обычный 2 13" xfId="260"/>
    <cellStyle name="Обычный 2 14" xfId="261"/>
    <cellStyle name="Обычный 2 15" xfId="262"/>
    <cellStyle name="Обычный 2 16" xfId="263"/>
    <cellStyle name="Обычный 2 2" xfId="264"/>
    <cellStyle name="Обычный 2 2 2" xfId="265"/>
    <cellStyle name="Обычный 2 2 3" xfId="266"/>
    <cellStyle name="Обычный 2 2_Расшифровка прочих" xfId="267"/>
    <cellStyle name="Обычный 2 3" xfId="268"/>
    <cellStyle name="Обычный 2 4" xfId="269"/>
    <cellStyle name="Обычный 2 5" xfId="270"/>
    <cellStyle name="Обычный 2 6" xfId="271"/>
    <cellStyle name="Обычный 2 7" xfId="272"/>
    <cellStyle name="Обычный 2 8" xfId="273"/>
    <cellStyle name="Обычный 2 9" xfId="274"/>
    <cellStyle name="Обычный 2_2604-2010" xfId="275"/>
    <cellStyle name="Обычный 3" xfId="276"/>
    <cellStyle name="Обычный 3 10" xfId="277"/>
    <cellStyle name="Обычный 3 11" xfId="278"/>
    <cellStyle name="Обычный 3 12" xfId="279"/>
    <cellStyle name="Обычный 3 13" xfId="280"/>
    <cellStyle name="Обычный 3 14" xfId="281"/>
    <cellStyle name="Обычный 3 2" xfId="282"/>
    <cellStyle name="Обычный 3 3" xfId="283"/>
    <cellStyle name="Обычный 3 4" xfId="284"/>
    <cellStyle name="Обычный 3 5" xfId="285"/>
    <cellStyle name="Обычный 3 6" xfId="286"/>
    <cellStyle name="Обычный 3 7" xfId="287"/>
    <cellStyle name="Обычный 3 8" xfId="288"/>
    <cellStyle name="Обычный 3 9" xfId="289"/>
    <cellStyle name="Обычный 3_Дефицит_7 млрд_0608_бс" xfId="290"/>
    <cellStyle name="Обычный 4" xfId="291"/>
    <cellStyle name="Обычный 5" xfId="292"/>
    <cellStyle name="Обычный 5 2" xfId="293"/>
    <cellStyle name="Обычный 6" xfId="294"/>
    <cellStyle name="Обычный 6 2" xfId="295"/>
    <cellStyle name="Обычный 6 3" xfId="296"/>
    <cellStyle name="Обычный 6 4" xfId="297"/>
    <cellStyle name="Обычный 6_Дефицит_7 млрд_0608_бс" xfId="298"/>
    <cellStyle name="Обычный 7" xfId="299"/>
    <cellStyle name="Обычный 7 2" xfId="300"/>
    <cellStyle name="Обычный 8" xfId="301"/>
    <cellStyle name="Обычный 9" xfId="302"/>
    <cellStyle name="Обычный 9 2" xfId="303"/>
    <cellStyle name="Обычный_Dod5kochtor" xfId="304"/>
    <cellStyle name="Плохой 2" xfId="305"/>
    <cellStyle name="Плохой 3" xfId="306"/>
    <cellStyle name="Пояснение 2" xfId="307"/>
    <cellStyle name="Пояснение 3" xfId="308"/>
    <cellStyle name="Примечание 2" xfId="309"/>
    <cellStyle name="Примечание 3" xfId="310"/>
    <cellStyle name="Процентный 2" xfId="311"/>
    <cellStyle name="Процентный 2 10" xfId="312"/>
    <cellStyle name="Процентный 2 11" xfId="313"/>
    <cellStyle name="Процентный 2 12" xfId="314"/>
    <cellStyle name="Процентный 2 13" xfId="315"/>
    <cellStyle name="Процентный 2 14" xfId="316"/>
    <cellStyle name="Процентный 2 15" xfId="317"/>
    <cellStyle name="Процентный 2 16" xfId="318"/>
    <cellStyle name="Процентный 2 2" xfId="319"/>
    <cellStyle name="Процентный 2 3" xfId="320"/>
    <cellStyle name="Процентный 2 4" xfId="321"/>
    <cellStyle name="Процентный 2 5" xfId="322"/>
    <cellStyle name="Процентный 2 6" xfId="323"/>
    <cellStyle name="Процентный 2 7" xfId="324"/>
    <cellStyle name="Процентный 2 8" xfId="325"/>
    <cellStyle name="Процентный 2 9" xfId="326"/>
    <cellStyle name="Процентный 3" xfId="327"/>
    <cellStyle name="Процентный 4" xfId="328"/>
    <cellStyle name="Процентный 4 2" xfId="329"/>
    <cellStyle name="Связанная ячейка 2" xfId="330"/>
    <cellStyle name="Связанная ячейка 3" xfId="331"/>
    <cellStyle name="Стиль 1" xfId="332"/>
    <cellStyle name="Стиль 1 2" xfId="333"/>
    <cellStyle name="Стиль 1 3" xfId="334"/>
    <cellStyle name="Стиль 1 4" xfId="335"/>
    <cellStyle name="Стиль 1 5" xfId="336"/>
    <cellStyle name="Стиль 1 6" xfId="337"/>
    <cellStyle name="Стиль 1 7" xfId="338"/>
    <cellStyle name="Текст предупреждения 2" xfId="339"/>
    <cellStyle name="Текст предупреждения 3" xfId="340"/>
    <cellStyle name="Тысячи [0]_1.62" xfId="341"/>
    <cellStyle name="Тысячи_1.62" xfId="342"/>
    <cellStyle name="Финансовый 2" xfId="343"/>
    <cellStyle name="Финансовый 2 10" xfId="344"/>
    <cellStyle name="Финансовый 2 11" xfId="345"/>
    <cellStyle name="Финансовый 2 12" xfId="346"/>
    <cellStyle name="Финансовый 2 13" xfId="347"/>
    <cellStyle name="Финансовый 2 14" xfId="348"/>
    <cellStyle name="Финансовый 2 15" xfId="349"/>
    <cellStyle name="Финансовый 2 16" xfId="350"/>
    <cellStyle name="Финансовый 2 17" xfId="351"/>
    <cellStyle name="Финансовый 2 2" xfId="352"/>
    <cellStyle name="Финансовый 2 3" xfId="353"/>
    <cellStyle name="Финансовый 2 4" xfId="354"/>
    <cellStyle name="Финансовый 2 5" xfId="355"/>
    <cellStyle name="Финансовый 2 6" xfId="356"/>
    <cellStyle name="Финансовый 2 7" xfId="357"/>
    <cellStyle name="Финансовый 2 8" xfId="358"/>
    <cellStyle name="Финансовый 2 9" xfId="359"/>
    <cellStyle name="Финансовый 3" xfId="360"/>
    <cellStyle name="Финансовый 3 2" xfId="361"/>
    <cellStyle name="Финансовый 4" xfId="362"/>
    <cellStyle name="Финансовый 4 2" xfId="363"/>
    <cellStyle name="Финансовый 4 3" xfId="364"/>
    <cellStyle name="Финансовый 5" xfId="365"/>
    <cellStyle name="Финансовый 6" xfId="366"/>
    <cellStyle name="Финансовый 7" xfId="367"/>
    <cellStyle name="Хороший 2" xfId="368"/>
    <cellStyle name="Хороший 3" xfId="369"/>
    <cellStyle name="Ю" xfId="370"/>
    <cellStyle name="Ю-FreeSet_10" xfId="371"/>
    <cellStyle name="числовой" xfId="3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66"/>
      <rgbColor rgb="0000FFFF"/>
      <rgbColor rgb="00800000"/>
      <rgbColor rgb="00008000"/>
      <rgbColor rgb="00000099"/>
      <rgbColor rgb="00808000"/>
      <rgbColor rgb="0080008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600CC"/>
      <rgbColor rgb="00800000"/>
      <rgbColor rgb="00008080"/>
      <rgbColor rgb="000000CC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191"/>
  <sheetViews>
    <sheetView tabSelected="1" view="pageBreakPreview" zoomScale="65" zoomScaleNormal="65" zoomScaleSheetLayoutView="65" workbookViewId="0" topLeftCell="A158">
      <pane xSplit="5" topLeftCell="F158" activePane="topRight" state="frozen"/>
      <selection pane="topLeft" activeCell="A158" sqref="A158"/>
      <selection pane="topRight" activeCell="R189" sqref="R189"/>
    </sheetView>
  </sheetViews>
  <sheetFormatPr defaultColWidth="9.00390625" defaultRowHeight="12.75" outlineLevelRow="1" outlineLevelCol="1"/>
  <cols>
    <col min="1" max="1" width="102.125" style="1" customWidth="1"/>
    <col min="2" max="2" width="33.375" style="2" customWidth="1"/>
    <col min="3" max="3" width="0" style="3" hidden="1" customWidth="1" outlineLevel="1"/>
    <col min="4" max="4" width="0" style="4" hidden="1" customWidth="1" outlineLevel="1"/>
    <col min="5" max="5" width="0" style="5" hidden="1" customWidth="1" outlineLevel="1"/>
    <col min="6" max="6" width="18.50390625" style="5" customWidth="1"/>
    <col min="7" max="7" width="18.50390625" style="6" customWidth="1"/>
    <col min="8" max="14" width="0" style="7" hidden="1" customWidth="1" outlineLevel="1"/>
    <col min="15" max="15" width="0" style="8" hidden="1" customWidth="1" outlineLevel="1"/>
    <col min="16" max="16" width="17.00390625" style="9" customWidth="1"/>
    <col min="17" max="17" width="18.125" style="5" customWidth="1"/>
    <col min="18" max="18" width="22.25390625" style="5" customWidth="1"/>
    <col min="19" max="19" width="18.125" style="5" customWidth="1"/>
    <col min="20" max="20" width="0" style="10" hidden="1" customWidth="1"/>
    <col min="21" max="25" width="0" style="11" hidden="1" customWidth="1" outlineLevel="1"/>
    <col min="26" max="27" width="11.50390625" style="1" customWidth="1"/>
    <col min="28" max="16384" width="9.125" style="1" customWidth="1"/>
  </cols>
  <sheetData>
    <row r="1" spans="1:23" ht="37.5" customHeight="1">
      <c r="A1" s="12"/>
      <c r="B1" s="13"/>
      <c r="C1" s="14"/>
      <c r="D1" s="15"/>
      <c r="E1" s="16"/>
      <c r="F1" s="16"/>
      <c r="G1" s="17"/>
      <c r="H1" s="18"/>
      <c r="I1" s="18"/>
      <c r="J1" s="18"/>
      <c r="K1" s="18"/>
      <c r="L1" s="18"/>
      <c r="M1" s="18"/>
      <c r="N1" s="18"/>
      <c r="O1" s="19"/>
      <c r="P1" s="20"/>
      <c r="Q1" s="21" t="s">
        <v>0</v>
      </c>
      <c r="R1" s="21"/>
      <c r="S1" s="21"/>
      <c r="T1" s="22"/>
      <c r="U1" s="23"/>
      <c r="V1" s="23"/>
      <c r="W1" s="23"/>
    </row>
    <row r="2" spans="1:23" ht="24" outlineLevel="1">
      <c r="A2" s="24"/>
      <c r="B2" s="25"/>
      <c r="C2" s="26"/>
      <c r="D2" s="27"/>
      <c r="E2" s="28"/>
      <c r="F2" s="28"/>
      <c r="G2" s="29"/>
      <c r="H2" s="30"/>
      <c r="I2" s="30"/>
      <c r="J2" s="30"/>
      <c r="K2" s="30"/>
      <c r="L2" s="30"/>
      <c r="M2" s="30"/>
      <c r="N2" s="30"/>
      <c r="O2" s="31"/>
      <c r="P2" s="20"/>
      <c r="Q2" s="32" t="s">
        <v>1</v>
      </c>
      <c r="R2" s="32"/>
      <c r="S2" s="32"/>
      <c r="T2" s="22"/>
      <c r="U2" s="23"/>
      <c r="V2" s="23"/>
      <c r="W2" s="23"/>
    </row>
    <row r="3" spans="1:23" ht="24" outlineLevel="1">
      <c r="A3" s="25"/>
      <c r="B3" s="25"/>
      <c r="C3" s="26"/>
      <c r="D3" s="27"/>
      <c r="E3" s="28"/>
      <c r="F3" s="28"/>
      <c r="G3" s="29"/>
      <c r="H3" s="30"/>
      <c r="I3" s="30"/>
      <c r="J3" s="30"/>
      <c r="K3" s="30"/>
      <c r="L3" s="30"/>
      <c r="M3" s="30"/>
      <c r="N3" s="30"/>
      <c r="O3" s="31"/>
      <c r="P3" s="20"/>
      <c r="Q3" s="32" t="s">
        <v>2</v>
      </c>
      <c r="R3" s="32"/>
      <c r="S3" s="32"/>
      <c r="T3" s="22"/>
      <c r="U3" s="23"/>
      <c r="V3" s="23"/>
      <c r="W3" s="23"/>
    </row>
    <row r="4" spans="1:23" ht="24" outlineLevel="1">
      <c r="A4" s="25"/>
      <c r="B4" s="25"/>
      <c r="C4" s="26"/>
      <c r="D4" s="27"/>
      <c r="E4" s="28"/>
      <c r="F4" s="28"/>
      <c r="G4" s="29"/>
      <c r="H4" s="30"/>
      <c r="I4" s="30"/>
      <c r="J4" s="30"/>
      <c r="K4" s="30"/>
      <c r="L4" s="30"/>
      <c r="M4" s="30"/>
      <c r="N4" s="30"/>
      <c r="O4" s="31"/>
      <c r="P4" s="20"/>
      <c r="Q4" s="32" t="s">
        <v>3</v>
      </c>
      <c r="R4" s="32"/>
      <c r="S4" s="32"/>
      <c r="T4" s="22"/>
      <c r="U4" s="23"/>
      <c r="V4" s="23"/>
      <c r="W4" s="23"/>
    </row>
    <row r="5" spans="1:19" ht="24" outlineLevel="1">
      <c r="A5" s="12"/>
      <c r="B5" s="33"/>
      <c r="C5" s="34"/>
      <c r="D5" s="35"/>
      <c r="E5" s="36"/>
      <c r="F5" s="36"/>
      <c r="G5" s="37"/>
      <c r="H5" s="38"/>
      <c r="I5" s="38"/>
      <c r="J5" s="38"/>
      <c r="K5" s="38"/>
      <c r="L5" s="38"/>
      <c r="M5" s="38"/>
      <c r="N5" s="38"/>
      <c r="O5" s="39"/>
      <c r="P5" s="20"/>
      <c r="Q5" s="40"/>
      <c r="R5" s="28"/>
      <c r="S5" s="28"/>
    </row>
    <row r="6" spans="1:19" ht="24" customHeight="1" outlineLevel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4" t="s">
        <v>4</v>
      </c>
      <c r="S6" s="45" t="s">
        <v>5</v>
      </c>
    </row>
    <row r="7" spans="1:19" ht="44.25" customHeight="1" outlineLevel="1">
      <c r="A7" s="46" t="s">
        <v>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7" t="s">
        <v>7</v>
      </c>
      <c r="S7" s="48">
        <v>34811465</v>
      </c>
    </row>
    <row r="8" spans="1:19" ht="44.25" customHeight="1" outlineLevel="1">
      <c r="A8" s="46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7" t="s">
        <v>9</v>
      </c>
      <c r="S8" s="48">
        <v>150</v>
      </c>
    </row>
    <row r="9" spans="1:19" ht="24" customHeight="1" outlineLevel="1">
      <c r="A9" s="46" t="s">
        <v>10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7" t="s">
        <v>11</v>
      </c>
      <c r="S9" s="48">
        <v>1211000000</v>
      </c>
    </row>
    <row r="10" spans="1:19" ht="24" customHeight="1" outlineLevel="1">
      <c r="A10" s="46" t="s">
        <v>12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7" t="s">
        <v>13</v>
      </c>
      <c r="S10" s="48"/>
    </row>
    <row r="11" spans="1:19" ht="24" customHeight="1" outlineLevel="1">
      <c r="A11" s="46" t="s">
        <v>14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7" t="s">
        <v>15</v>
      </c>
      <c r="S11" s="48"/>
    </row>
    <row r="12" spans="1:19" ht="65.25" customHeight="1" outlineLevel="1">
      <c r="A12" s="46" t="s">
        <v>16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7" t="s">
        <v>17</v>
      </c>
      <c r="S12" s="48" t="s">
        <v>18</v>
      </c>
    </row>
    <row r="13" spans="1:19" ht="24" outlineLevel="1">
      <c r="A13" s="46" t="s">
        <v>19</v>
      </c>
      <c r="B13" s="49"/>
      <c r="C13" s="50"/>
      <c r="D13" s="51"/>
      <c r="E13" s="51"/>
      <c r="F13" s="51"/>
      <c r="G13" s="52"/>
      <c r="H13" s="53"/>
      <c r="I13" s="53"/>
      <c r="J13" s="53"/>
      <c r="K13" s="53"/>
      <c r="L13" s="53"/>
      <c r="M13" s="53"/>
      <c r="N13" s="53"/>
      <c r="O13" s="54"/>
      <c r="P13" s="55"/>
      <c r="Q13" s="51"/>
      <c r="R13" s="56" t="s">
        <v>20</v>
      </c>
      <c r="S13" s="57"/>
    </row>
    <row r="14" spans="1:19" ht="24" outlineLevel="1">
      <c r="A14" s="46" t="s">
        <v>21</v>
      </c>
      <c r="B14" s="42"/>
      <c r="C14" s="58"/>
      <c r="D14" s="59"/>
      <c r="E14" s="60"/>
      <c r="F14" s="60"/>
      <c r="G14" s="61"/>
      <c r="H14" s="62"/>
      <c r="I14" s="62"/>
      <c r="J14" s="62"/>
      <c r="K14" s="62"/>
      <c r="L14" s="62"/>
      <c r="M14" s="62"/>
      <c r="N14" s="62"/>
      <c r="O14" s="63"/>
      <c r="P14" s="64"/>
      <c r="Q14" s="60"/>
      <c r="R14" s="56" t="s">
        <v>22</v>
      </c>
      <c r="S14" s="57"/>
    </row>
    <row r="15" spans="1:25" s="70" customFormat="1" ht="44.25" customHeight="1" outlineLevel="1">
      <c r="A15" s="65" t="s">
        <v>23</v>
      </c>
      <c r="B15" s="66">
        <f>Q179</f>
        <v>1008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7"/>
      <c r="T15" s="68"/>
      <c r="U15" s="69"/>
      <c r="V15" s="69"/>
      <c r="W15" s="69"/>
      <c r="X15" s="69"/>
      <c r="Y15" s="69"/>
    </row>
    <row r="16" spans="1:19" ht="65.25" customHeight="1" outlineLevel="1">
      <c r="A16" s="46" t="s">
        <v>24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71"/>
      <c r="S16" s="71"/>
    </row>
    <row r="17" spans="1:19" ht="24" customHeight="1" outlineLevel="1">
      <c r="A17" s="46" t="s">
        <v>25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72"/>
      <c r="S17" s="72"/>
    </row>
    <row r="18" spans="1:19" ht="24" customHeight="1" outlineLevel="1">
      <c r="A18" s="46" t="s">
        <v>26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71"/>
      <c r="S18" s="71"/>
    </row>
    <row r="19" spans="1:19" ht="24" outlineLevel="1">
      <c r="A19" s="73"/>
      <c r="B19" s="12"/>
      <c r="C19" s="74"/>
      <c r="D19" s="75"/>
      <c r="E19" s="76"/>
      <c r="F19" s="76"/>
      <c r="G19" s="77"/>
      <c r="H19" s="78"/>
      <c r="I19" s="78"/>
      <c r="J19" s="78"/>
      <c r="K19" s="78"/>
      <c r="L19" s="78"/>
      <c r="M19" s="78"/>
      <c r="N19" s="78"/>
      <c r="O19" s="79"/>
      <c r="P19" s="20"/>
      <c r="Q19" s="76"/>
      <c r="R19" s="76"/>
      <c r="S19" s="76"/>
    </row>
    <row r="20" spans="1:19" ht="24">
      <c r="A20" s="80" t="s">
        <v>27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19" ht="24">
      <c r="A21" s="80" t="s">
        <v>28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</row>
    <row r="22" spans="1:19" ht="18.75">
      <c r="A22" s="81" t="s">
        <v>29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ht="24">
      <c r="A23" s="25" t="s">
        <v>30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ht="24">
      <c r="A24" s="80"/>
      <c r="B24" s="80"/>
      <c r="C24" s="82"/>
      <c r="D24" s="83"/>
      <c r="E24" s="84"/>
      <c r="F24" s="84"/>
      <c r="G24" s="85"/>
      <c r="H24" s="86"/>
      <c r="I24" s="86"/>
      <c r="J24" s="86"/>
      <c r="K24" s="86"/>
      <c r="L24" s="86"/>
      <c r="M24" s="86"/>
      <c r="N24" s="86"/>
      <c r="O24" s="87"/>
      <c r="P24" s="88"/>
      <c r="Q24" s="84"/>
      <c r="R24" s="84"/>
      <c r="S24" s="84"/>
    </row>
    <row r="25" spans="1:19" ht="24">
      <c r="A25" s="80" t="s">
        <v>31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 ht="24">
      <c r="A26" s="12"/>
      <c r="B26" s="89"/>
      <c r="C26" s="90"/>
      <c r="D26" s="91"/>
      <c r="E26" s="92"/>
      <c r="F26" s="92"/>
      <c r="G26" s="93"/>
      <c r="H26" s="94"/>
      <c r="I26" s="94"/>
      <c r="J26" s="94"/>
      <c r="K26" s="94"/>
      <c r="L26" s="94"/>
      <c r="M26" s="94"/>
      <c r="N26" s="94"/>
      <c r="O26" s="95"/>
      <c r="P26" s="96"/>
      <c r="Q26" s="92"/>
      <c r="R26" s="92"/>
      <c r="S26" s="92"/>
    </row>
    <row r="27" spans="1:25" ht="66.75" customHeight="1">
      <c r="A27" s="97" t="s">
        <v>32</v>
      </c>
      <c r="B27" s="98" t="s">
        <v>33</v>
      </c>
      <c r="C27" s="99" t="s">
        <v>34</v>
      </c>
      <c r="D27" s="99"/>
      <c r="E27" s="99"/>
      <c r="F27" s="99"/>
      <c r="G27" s="99"/>
      <c r="H27" s="100" t="s">
        <v>35</v>
      </c>
      <c r="I27" s="100" t="s">
        <v>36</v>
      </c>
      <c r="J27" s="100" t="s">
        <v>37</v>
      </c>
      <c r="K27" s="100"/>
      <c r="L27" s="100" t="s">
        <v>38</v>
      </c>
      <c r="M27" s="100"/>
      <c r="N27" s="100" t="s">
        <v>39</v>
      </c>
      <c r="O27" s="100"/>
      <c r="P27" s="101" t="s">
        <v>40</v>
      </c>
      <c r="Q27" s="101"/>
      <c r="R27" s="102"/>
      <c r="S27" s="102"/>
      <c r="T27" s="103"/>
      <c r="U27" s="104" t="s">
        <v>41</v>
      </c>
      <c r="V27" s="104" t="s">
        <v>42</v>
      </c>
      <c r="W27" s="104" t="s">
        <v>43</v>
      </c>
      <c r="X27" s="104" t="s">
        <v>44</v>
      </c>
      <c r="Y27" s="104">
        <v>2018</v>
      </c>
    </row>
    <row r="28" spans="1:25" ht="65.25">
      <c r="A28" s="97"/>
      <c r="B28" s="98"/>
      <c r="C28" s="105" t="s">
        <v>45</v>
      </c>
      <c r="D28" s="105" t="s">
        <v>46</v>
      </c>
      <c r="E28" s="106" t="s">
        <v>47</v>
      </c>
      <c r="F28" s="107" t="s">
        <v>48</v>
      </c>
      <c r="G28" s="108" t="s">
        <v>49</v>
      </c>
      <c r="H28" s="109" t="s">
        <v>50</v>
      </c>
      <c r="I28" s="109" t="s">
        <v>51</v>
      </c>
      <c r="J28" s="109" t="s">
        <v>50</v>
      </c>
      <c r="K28" s="109" t="s">
        <v>51</v>
      </c>
      <c r="L28" s="109" t="s">
        <v>50</v>
      </c>
      <c r="M28" s="109" t="s">
        <v>51</v>
      </c>
      <c r="N28" s="109" t="s">
        <v>50</v>
      </c>
      <c r="O28" s="110" t="s">
        <v>51</v>
      </c>
      <c r="P28" s="111" t="s">
        <v>50</v>
      </c>
      <c r="Q28" s="112" t="s">
        <v>51</v>
      </c>
      <c r="R28" s="112" t="s">
        <v>52</v>
      </c>
      <c r="S28" s="112" t="s">
        <v>53</v>
      </c>
      <c r="T28" s="103"/>
      <c r="U28" s="113" t="s">
        <v>51</v>
      </c>
      <c r="V28" s="113" t="s">
        <v>51</v>
      </c>
      <c r="W28" s="113" t="s">
        <v>51</v>
      </c>
      <c r="X28" s="113" t="s">
        <v>51</v>
      </c>
      <c r="Y28" s="104"/>
    </row>
    <row r="29" spans="1:25" ht="24">
      <c r="A29" s="97">
        <v>1</v>
      </c>
      <c r="B29" s="98">
        <v>2</v>
      </c>
      <c r="C29" s="114">
        <v>3</v>
      </c>
      <c r="D29" s="114"/>
      <c r="E29" s="115">
        <v>4</v>
      </c>
      <c r="F29" s="99"/>
      <c r="G29" s="116"/>
      <c r="H29" s="117"/>
      <c r="I29" s="117"/>
      <c r="J29" s="117"/>
      <c r="K29" s="117"/>
      <c r="L29" s="117"/>
      <c r="M29" s="117"/>
      <c r="N29" s="117"/>
      <c r="O29" s="115"/>
      <c r="P29" s="118">
        <v>5</v>
      </c>
      <c r="Q29" s="99">
        <v>6</v>
      </c>
      <c r="R29" s="45">
        <v>7</v>
      </c>
      <c r="S29" s="99">
        <v>8</v>
      </c>
      <c r="U29" s="104"/>
      <c r="V29" s="104"/>
      <c r="W29" s="104"/>
      <c r="X29" s="104"/>
      <c r="Y29" s="104"/>
    </row>
    <row r="30" spans="1:25" s="122" customFormat="1" ht="24" customHeight="1">
      <c r="A30" s="119" t="s">
        <v>54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20"/>
      <c r="U30" s="121"/>
      <c r="V30" s="121"/>
      <c r="W30" s="121"/>
      <c r="X30" s="121"/>
      <c r="Y30" s="121"/>
    </row>
    <row r="31" spans="1:25" s="122" customFormat="1" ht="44.25">
      <c r="A31" s="123" t="s">
        <v>55</v>
      </c>
      <c r="B31" s="124">
        <v>1000</v>
      </c>
      <c r="C31" s="125">
        <v>5097.8</v>
      </c>
      <c r="D31" s="125">
        <v>13300.8</v>
      </c>
      <c r="E31" s="126">
        <v>17403.2</v>
      </c>
      <c r="F31" s="127">
        <v>8419.1</v>
      </c>
      <c r="G31" s="127">
        <v>10213.7</v>
      </c>
      <c r="H31" s="128">
        <v>4657.5</v>
      </c>
      <c r="I31" s="127">
        <v>5019.4</v>
      </c>
      <c r="J31" s="128">
        <v>6759.3</v>
      </c>
      <c r="K31" s="127"/>
      <c r="L31" s="127">
        <v>6846</v>
      </c>
      <c r="M31" s="127"/>
      <c r="N31" s="127">
        <v>7237.2</v>
      </c>
      <c r="O31" s="129"/>
      <c r="P31" s="128">
        <f>6759.3+4657.5</f>
        <v>11416.8</v>
      </c>
      <c r="Q31" s="130">
        <v>10213.7</v>
      </c>
      <c r="R31" s="129">
        <f aca="true" t="shared" si="0" ref="R31:R69">Q31-P31</f>
        <v>-1203.0999999999985</v>
      </c>
      <c r="S31" s="129">
        <f>Q31/P31%</f>
        <v>89.46202088150797</v>
      </c>
      <c r="T31" s="131"/>
      <c r="U31" s="126">
        <v>3994.5</v>
      </c>
      <c r="V31" s="126">
        <v>4424.6</v>
      </c>
      <c r="W31" s="126">
        <v>4216.4</v>
      </c>
      <c r="X31" s="132">
        <v>4767.7</v>
      </c>
      <c r="Y31" s="132">
        <f aca="true" t="shared" si="1" ref="Y31:Y33">U31+V31+W31+X31</f>
        <v>17403.2</v>
      </c>
    </row>
    <row r="32" spans="1:25" s="122" customFormat="1" ht="44.25">
      <c r="A32" s="123" t="s">
        <v>56</v>
      </c>
      <c r="B32" s="124"/>
      <c r="C32" s="125">
        <v>0</v>
      </c>
      <c r="D32" s="125">
        <v>0</v>
      </c>
      <c r="E32" s="133">
        <v>0</v>
      </c>
      <c r="F32" s="127">
        <v>0</v>
      </c>
      <c r="G32" s="127">
        <v>0</v>
      </c>
      <c r="H32" s="128">
        <v>0</v>
      </c>
      <c r="I32" s="127">
        <v>0</v>
      </c>
      <c r="J32" s="128">
        <v>0</v>
      </c>
      <c r="K32" s="127"/>
      <c r="L32" s="127">
        <v>0</v>
      </c>
      <c r="M32" s="127"/>
      <c r="N32" s="127">
        <v>0</v>
      </c>
      <c r="O32" s="129"/>
      <c r="P32" s="128">
        <v>0</v>
      </c>
      <c r="Q32" s="130">
        <f>G32-I32-K32-M32</f>
        <v>0</v>
      </c>
      <c r="R32" s="129">
        <f t="shared" si="0"/>
        <v>0</v>
      </c>
      <c r="S32" s="129">
        <v>0</v>
      </c>
      <c r="T32" s="131"/>
      <c r="U32" s="126">
        <v>0</v>
      </c>
      <c r="V32" s="126">
        <v>0</v>
      </c>
      <c r="W32" s="126"/>
      <c r="X32" s="127"/>
      <c r="Y32" s="132">
        <f t="shared" si="1"/>
        <v>0</v>
      </c>
    </row>
    <row r="33" spans="1:25" s="122" customFormat="1" ht="44.25">
      <c r="A33" s="134" t="s">
        <v>57</v>
      </c>
      <c r="B33" s="98">
        <v>1010</v>
      </c>
      <c r="C33" s="125">
        <v>45762.8</v>
      </c>
      <c r="D33" s="125">
        <v>123987.8</v>
      </c>
      <c r="E33" s="126">
        <v>180017.9</v>
      </c>
      <c r="F33" s="127">
        <v>77854.6</v>
      </c>
      <c r="G33" s="127">
        <v>107981.9</v>
      </c>
      <c r="H33" s="128">
        <v>59965.8</v>
      </c>
      <c r="I33" s="127">
        <v>55731.5</v>
      </c>
      <c r="J33" s="128">
        <v>52535.7</v>
      </c>
      <c r="K33" s="127"/>
      <c r="L33" s="127">
        <v>54386.6</v>
      </c>
      <c r="M33" s="127"/>
      <c r="N33" s="127">
        <v>58900.1</v>
      </c>
      <c r="O33" s="129"/>
      <c r="P33" s="128">
        <f>52535.7+59965.8</f>
        <v>112501.5</v>
      </c>
      <c r="Q33" s="130">
        <v>107981.9</v>
      </c>
      <c r="R33" s="129">
        <f t="shared" si="0"/>
        <v>-4519.600000000006</v>
      </c>
      <c r="S33" s="129">
        <f aca="true" t="shared" si="2" ref="S33:S35">Q33/P33%</f>
        <v>95.9826313426932</v>
      </c>
      <c r="T33" s="131"/>
      <c r="U33" s="126">
        <v>39580.9</v>
      </c>
      <c r="V33" s="126">
        <v>38273.7</v>
      </c>
      <c r="W33" s="126">
        <v>49282.6</v>
      </c>
      <c r="X33" s="127">
        <v>52880.7</v>
      </c>
      <c r="Y33" s="132">
        <f t="shared" si="1"/>
        <v>180017.90000000002</v>
      </c>
    </row>
    <row r="34" spans="1:25" s="122" customFormat="1" ht="65.25">
      <c r="A34" s="135" t="s">
        <v>58</v>
      </c>
      <c r="B34" s="136">
        <v>1020</v>
      </c>
      <c r="C34" s="137">
        <f>C31-C33</f>
        <v>-40665</v>
      </c>
      <c r="D34" s="137">
        <f>D31+D32-D33</f>
        <v>-110687</v>
      </c>
      <c r="E34" s="138">
        <f>E31+E32-E33</f>
        <v>-162614.69999999998</v>
      </c>
      <c r="F34" s="139">
        <f>F31+F32-F33</f>
        <v>-69435.5</v>
      </c>
      <c r="G34" s="139">
        <f>G31+G32-G33</f>
        <v>-97768.2</v>
      </c>
      <c r="H34" s="139">
        <f>H31+H32-H33</f>
        <v>-55308.3</v>
      </c>
      <c r="I34" s="139">
        <f>I31+I32-I33</f>
        <v>-50712.1</v>
      </c>
      <c r="J34" s="139">
        <f>J31+J32-J33</f>
        <v>-45776.399999999994</v>
      </c>
      <c r="K34" s="139">
        <f>K31+K32-K33</f>
        <v>0</v>
      </c>
      <c r="L34" s="139">
        <f>L31+L32-L33</f>
        <v>-47540.6</v>
      </c>
      <c r="M34" s="139">
        <f>M31+M32-M33</f>
        <v>0</v>
      </c>
      <c r="N34" s="139">
        <f>N31+N32-N33</f>
        <v>-51662.9</v>
      </c>
      <c r="O34" s="138">
        <f>O31+O32-O33</f>
        <v>0</v>
      </c>
      <c r="P34" s="139">
        <f>P31+P32-P33</f>
        <v>-101084.7</v>
      </c>
      <c r="Q34" s="140">
        <f>Q31+Q32-Q33</f>
        <v>-97768.2</v>
      </c>
      <c r="R34" s="141">
        <f t="shared" si="0"/>
        <v>3316.5</v>
      </c>
      <c r="S34" s="141">
        <f t="shared" si="2"/>
        <v>96.71908805190102</v>
      </c>
      <c r="T34" s="131"/>
      <c r="U34" s="142">
        <f>U31+U32-U33</f>
        <v>-35586.4</v>
      </c>
      <c r="V34" s="142">
        <f>V31+V32-V33</f>
        <v>-33849.1</v>
      </c>
      <c r="W34" s="142">
        <f>W31+W32-W33</f>
        <v>-45066.2</v>
      </c>
      <c r="X34" s="143">
        <f>X31+X32-X33</f>
        <v>-48113</v>
      </c>
      <c r="Y34" s="143">
        <f>Y31+Y32-Y33</f>
        <v>-162614.7</v>
      </c>
    </row>
    <row r="35" spans="1:25" s="122" customFormat="1" ht="44.25">
      <c r="A35" s="134" t="s">
        <v>59</v>
      </c>
      <c r="B35" s="97">
        <v>1030</v>
      </c>
      <c r="C35" s="125">
        <v>1590.4</v>
      </c>
      <c r="D35" s="125">
        <v>4236.1</v>
      </c>
      <c r="E35" s="126">
        <v>6324.5</v>
      </c>
      <c r="F35" s="127">
        <v>2900.2</v>
      </c>
      <c r="G35" s="127">
        <v>8643.1</v>
      </c>
      <c r="H35" s="144">
        <v>1771.3</v>
      </c>
      <c r="I35" s="127">
        <v>5927.9</v>
      </c>
      <c r="J35" s="144">
        <v>1773.3</v>
      </c>
      <c r="K35" s="127"/>
      <c r="L35" s="127">
        <v>1834.7</v>
      </c>
      <c r="M35" s="127"/>
      <c r="N35" s="127">
        <v>1858.8</v>
      </c>
      <c r="O35" s="129"/>
      <c r="P35" s="128">
        <f>1773.3+1771.3</f>
        <v>3544.6</v>
      </c>
      <c r="Q35" s="130">
        <v>8643.1</v>
      </c>
      <c r="R35" s="129">
        <f t="shared" si="0"/>
        <v>5098.5</v>
      </c>
      <c r="S35" s="129">
        <f t="shared" si="2"/>
        <v>243.83851492410994</v>
      </c>
      <c r="T35" s="131"/>
      <c r="U35" s="126">
        <v>1438.1</v>
      </c>
      <c r="V35" s="126">
        <v>1462.1</v>
      </c>
      <c r="W35" s="126">
        <v>1658.9</v>
      </c>
      <c r="X35" s="127">
        <v>1765.4</v>
      </c>
      <c r="Y35" s="132">
        <f aca="true" t="shared" si="3" ref="Y35:Y47">U35+V35+W35+X35</f>
        <v>6324.5</v>
      </c>
    </row>
    <row r="36" spans="1:25" s="122" customFormat="1" ht="44.25">
      <c r="A36" s="145" t="s">
        <v>60</v>
      </c>
      <c r="B36" s="97">
        <v>1031</v>
      </c>
      <c r="C36" s="125">
        <v>0</v>
      </c>
      <c r="D36" s="125">
        <v>0</v>
      </c>
      <c r="E36" s="133">
        <v>0</v>
      </c>
      <c r="F36" s="127">
        <v>0</v>
      </c>
      <c r="G36" s="127">
        <v>0</v>
      </c>
      <c r="H36" s="144">
        <v>0</v>
      </c>
      <c r="I36" s="127">
        <v>0</v>
      </c>
      <c r="J36" s="144">
        <v>0</v>
      </c>
      <c r="K36" s="127"/>
      <c r="L36" s="127"/>
      <c r="M36" s="127"/>
      <c r="N36" s="127"/>
      <c r="O36" s="129"/>
      <c r="P36" s="128">
        <v>0</v>
      </c>
      <c r="Q36" s="130">
        <f aca="true" t="shared" si="4" ref="Q36:Q38">G36-I36-K36-M36</f>
        <v>0</v>
      </c>
      <c r="R36" s="129">
        <f t="shared" si="0"/>
        <v>0</v>
      </c>
      <c r="S36" s="129">
        <v>0</v>
      </c>
      <c r="T36" s="131"/>
      <c r="U36" s="126">
        <v>0</v>
      </c>
      <c r="V36" s="126">
        <v>0</v>
      </c>
      <c r="W36" s="126"/>
      <c r="X36" s="127"/>
      <c r="Y36" s="132">
        <f t="shared" si="3"/>
        <v>0</v>
      </c>
    </row>
    <row r="37" spans="1:25" s="122" customFormat="1" ht="24">
      <c r="A37" s="145" t="s">
        <v>61</v>
      </c>
      <c r="B37" s="97">
        <v>1032</v>
      </c>
      <c r="C37" s="125">
        <v>0</v>
      </c>
      <c r="D37" s="125">
        <v>0</v>
      </c>
      <c r="E37" s="133">
        <v>0</v>
      </c>
      <c r="F37" s="127">
        <v>0</v>
      </c>
      <c r="G37" s="127">
        <v>0</v>
      </c>
      <c r="H37" s="144">
        <v>0</v>
      </c>
      <c r="I37" s="127">
        <v>0</v>
      </c>
      <c r="J37" s="144">
        <v>0</v>
      </c>
      <c r="K37" s="127"/>
      <c r="L37" s="127"/>
      <c r="M37" s="127"/>
      <c r="N37" s="127"/>
      <c r="O37" s="129"/>
      <c r="P37" s="144">
        <v>0</v>
      </c>
      <c r="Q37" s="130">
        <f t="shared" si="4"/>
        <v>0</v>
      </c>
      <c r="R37" s="129">
        <f t="shared" si="0"/>
        <v>0</v>
      </c>
      <c r="S37" s="129">
        <v>0</v>
      </c>
      <c r="T37" s="131"/>
      <c r="U37" s="126">
        <v>0</v>
      </c>
      <c r="V37" s="126">
        <v>0</v>
      </c>
      <c r="W37" s="126"/>
      <c r="X37" s="127"/>
      <c r="Y37" s="132">
        <f t="shared" si="3"/>
        <v>0</v>
      </c>
    </row>
    <row r="38" spans="1:25" s="122" customFormat="1" ht="24">
      <c r="A38" s="145" t="s">
        <v>62</v>
      </c>
      <c r="B38" s="97">
        <v>1033</v>
      </c>
      <c r="C38" s="125">
        <v>0</v>
      </c>
      <c r="D38" s="125">
        <v>0</v>
      </c>
      <c r="E38" s="133">
        <v>0</v>
      </c>
      <c r="F38" s="127">
        <v>0</v>
      </c>
      <c r="G38" s="127">
        <v>0</v>
      </c>
      <c r="H38" s="144">
        <v>0</v>
      </c>
      <c r="I38" s="127">
        <v>0</v>
      </c>
      <c r="J38" s="144">
        <v>0</v>
      </c>
      <c r="K38" s="127"/>
      <c r="L38" s="127"/>
      <c r="M38" s="127"/>
      <c r="N38" s="127"/>
      <c r="O38" s="129"/>
      <c r="P38" s="144">
        <v>0</v>
      </c>
      <c r="Q38" s="130">
        <f t="shared" si="4"/>
        <v>0</v>
      </c>
      <c r="R38" s="129">
        <f t="shared" si="0"/>
        <v>0</v>
      </c>
      <c r="S38" s="129">
        <v>0</v>
      </c>
      <c r="T38" s="131"/>
      <c r="U38" s="126">
        <v>0</v>
      </c>
      <c r="V38" s="126">
        <v>0</v>
      </c>
      <c r="W38" s="126"/>
      <c r="X38" s="127"/>
      <c r="Y38" s="132">
        <f t="shared" si="3"/>
        <v>0</v>
      </c>
    </row>
    <row r="39" spans="1:25" s="122" customFormat="1" ht="24">
      <c r="A39" s="145" t="s">
        <v>63</v>
      </c>
      <c r="B39" s="97">
        <v>1034</v>
      </c>
      <c r="C39" s="125">
        <v>1.3</v>
      </c>
      <c r="D39" s="125">
        <v>1.7</v>
      </c>
      <c r="E39" s="126">
        <v>2.3</v>
      </c>
      <c r="F39" s="127">
        <v>0.7</v>
      </c>
      <c r="G39" s="127">
        <v>0.9</v>
      </c>
      <c r="H39" s="144">
        <v>0</v>
      </c>
      <c r="I39" s="127">
        <v>0.9</v>
      </c>
      <c r="J39" s="144">
        <v>0</v>
      </c>
      <c r="K39" s="127"/>
      <c r="L39" s="127"/>
      <c r="M39" s="127"/>
      <c r="N39" s="127"/>
      <c r="O39" s="129"/>
      <c r="P39" s="144">
        <v>0</v>
      </c>
      <c r="Q39" s="130">
        <v>0.9</v>
      </c>
      <c r="R39" s="129">
        <f t="shared" si="0"/>
        <v>0.9</v>
      </c>
      <c r="S39" s="129">
        <v>0</v>
      </c>
      <c r="T39" s="131"/>
      <c r="U39" s="126">
        <v>0.7</v>
      </c>
      <c r="V39" s="126">
        <v>0</v>
      </c>
      <c r="W39" s="126"/>
      <c r="X39" s="127">
        <v>1.6</v>
      </c>
      <c r="Y39" s="132">
        <f t="shared" si="3"/>
        <v>2.3</v>
      </c>
    </row>
    <row r="40" spans="1:25" s="122" customFormat="1" ht="24">
      <c r="A40" s="145" t="s">
        <v>64</v>
      </c>
      <c r="B40" s="97">
        <v>1035</v>
      </c>
      <c r="C40" s="125">
        <v>0</v>
      </c>
      <c r="D40" s="125">
        <v>0</v>
      </c>
      <c r="E40" s="133">
        <v>0</v>
      </c>
      <c r="F40" s="127">
        <v>0</v>
      </c>
      <c r="G40" s="127">
        <v>0</v>
      </c>
      <c r="H40" s="144">
        <v>0</v>
      </c>
      <c r="I40" s="127">
        <v>0</v>
      </c>
      <c r="J40" s="144">
        <v>0</v>
      </c>
      <c r="K40" s="127"/>
      <c r="L40" s="127"/>
      <c r="M40" s="127"/>
      <c r="N40" s="127"/>
      <c r="O40" s="129"/>
      <c r="P40" s="144">
        <v>0</v>
      </c>
      <c r="Q40" s="130">
        <f aca="true" t="shared" si="5" ref="Q40:Q41">G40-I40-K40-M40</f>
        <v>0</v>
      </c>
      <c r="R40" s="129">
        <f t="shared" si="0"/>
        <v>0</v>
      </c>
      <c r="S40" s="129">
        <v>0</v>
      </c>
      <c r="T40" s="131"/>
      <c r="U40" s="126">
        <v>0</v>
      </c>
      <c r="V40" s="126">
        <v>0</v>
      </c>
      <c r="W40" s="126"/>
      <c r="X40" s="127"/>
      <c r="Y40" s="132">
        <f t="shared" si="3"/>
        <v>0</v>
      </c>
    </row>
    <row r="41" spans="1:25" s="122" customFormat="1" ht="24">
      <c r="A41" s="134" t="s">
        <v>65</v>
      </c>
      <c r="B41" s="98">
        <v>1060</v>
      </c>
      <c r="C41" s="125">
        <v>0</v>
      </c>
      <c r="D41" s="125">
        <v>0</v>
      </c>
      <c r="E41" s="133">
        <v>0</v>
      </c>
      <c r="F41" s="127">
        <v>0</v>
      </c>
      <c r="G41" s="127">
        <v>0</v>
      </c>
      <c r="H41" s="144">
        <v>0</v>
      </c>
      <c r="I41" s="127">
        <v>0</v>
      </c>
      <c r="J41" s="144">
        <v>0</v>
      </c>
      <c r="K41" s="127"/>
      <c r="L41" s="127"/>
      <c r="M41" s="127"/>
      <c r="N41" s="127"/>
      <c r="O41" s="129"/>
      <c r="P41" s="144">
        <v>0</v>
      </c>
      <c r="Q41" s="130">
        <f t="shared" si="5"/>
        <v>0</v>
      </c>
      <c r="R41" s="129">
        <f t="shared" si="0"/>
        <v>0</v>
      </c>
      <c r="S41" s="129">
        <v>0</v>
      </c>
      <c r="T41" s="131"/>
      <c r="U41" s="126">
        <v>0</v>
      </c>
      <c r="V41" s="126">
        <v>0</v>
      </c>
      <c r="W41" s="126"/>
      <c r="X41" s="127"/>
      <c r="Y41" s="132">
        <f t="shared" si="3"/>
        <v>0</v>
      </c>
    </row>
    <row r="42" spans="1:25" s="149" customFormat="1" ht="45.75">
      <c r="A42" s="146" t="s">
        <v>66</v>
      </c>
      <c r="B42" s="147">
        <v>1070</v>
      </c>
      <c r="C42" s="125">
        <v>37302.7</v>
      </c>
      <c r="D42" s="125">
        <v>101969.1</v>
      </c>
      <c r="E42" s="126">
        <v>150052.5</v>
      </c>
      <c r="F42" s="127">
        <v>65796.5</v>
      </c>
      <c r="G42" s="127">
        <v>97475.1</v>
      </c>
      <c r="H42" s="128">
        <v>54639.3</v>
      </c>
      <c r="I42" s="127">
        <v>39207.3</v>
      </c>
      <c r="J42" s="128">
        <v>53388.8</v>
      </c>
      <c r="K42" s="127"/>
      <c r="L42" s="127">
        <v>41943.9</v>
      </c>
      <c r="M42" s="127"/>
      <c r="N42" s="127">
        <v>36228</v>
      </c>
      <c r="O42" s="129"/>
      <c r="P42" s="128">
        <f>53388.8+54639.3</f>
        <v>108028.1</v>
      </c>
      <c r="Q42" s="130">
        <v>97475.1</v>
      </c>
      <c r="R42" s="129">
        <f t="shared" si="0"/>
        <v>-10553</v>
      </c>
      <c r="S42" s="129">
        <f>Q42/P42%</f>
        <v>90.23124538893123</v>
      </c>
      <c r="T42" s="148"/>
      <c r="U42" s="126">
        <v>31345.2</v>
      </c>
      <c r="V42" s="126">
        <v>34451.3</v>
      </c>
      <c r="W42" s="126">
        <v>34249.2</v>
      </c>
      <c r="X42" s="127">
        <v>50006.8</v>
      </c>
      <c r="Y42" s="132">
        <f t="shared" si="3"/>
        <v>150052.5</v>
      </c>
    </row>
    <row r="43" spans="1:25" s="122" customFormat="1" ht="24">
      <c r="A43" s="145" t="s">
        <v>67</v>
      </c>
      <c r="B43" s="97">
        <v>1071</v>
      </c>
      <c r="C43" s="125">
        <v>0</v>
      </c>
      <c r="D43" s="125">
        <v>0</v>
      </c>
      <c r="E43" s="133">
        <v>0</v>
      </c>
      <c r="F43" s="127">
        <v>0</v>
      </c>
      <c r="G43" s="127">
        <v>0</v>
      </c>
      <c r="H43" s="144">
        <v>0</v>
      </c>
      <c r="I43" s="127">
        <v>0</v>
      </c>
      <c r="J43" s="144">
        <v>0</v>
      </c>
      <c r="K43" s="127"/>
      <c r="L43" s="127"/>
      <c r="M43" s="127"/>
      <c r="N43" s="127"/>
      <c r="O43" s="129"/>
      <c r="P43" s="144">
        <v>0</v>
      </c>
      <c r="Q43" s="130">
        <f aca="true" t="shared" si="6" ref="Q43:Q44">G43-I43-K43-M43</f>
        <v>0</v>
      </c>
      <c r="R43" s="129">
        <f t="shared" si="0"/>
        <v>0</v>
      </c>
      <c r="S43" s="129">
        <v>0</v>
      </c>
      <c r="T43" s="131"/>
      <c r="U43" s="126">
        <v>0</v>
      </c>
      <c r="V43" s="126">
        <v>0</v>
      </c>
      <c r="W43" s="126"/>
      <c r="X43" s="127"/>
      <c r="Y43" s="132">
        <f t="shared" si="3"/>
        <v>0</v>
      </c>
    </row>
    <row r="44" spans="1:25" s="122" customFormat="1" ht="24">
      <c r="A44" s="145" t="s">
        <v>68</v>
      </c>
      <c r="B44" s="97">
        <v>1072</v>
      </c>
      <c r="C44" s="125">
        <v>0</v>
      </c>
      <c r="D44" s="125">
        <v>0</v>
      </c>
      <c r="E44" s="133">
        <v>0</v>
      </c>
      <c r="F44" s="127">
        <v>0</v>
      </c>
      <c r="G44" s="127">
        <v>0</v>
      </c>
      <c r="H44" s="144">
        <v>0</v>
      </c>
      <c r="I44" s="127">
        <v>0</v>
      </c>
      <c r="J44" s="144">
        <v>0</v>
      </c>
      <c r="K44" s="127"/>
      <c r="L44" s="127"/>
      <c r="M44" s="127"/>
      <c r="N44" s="127"/>
      <c r="O44" s="129"/>
      <c r="P44" s="144">
        <v>0</v>
      </c>
      <c r="Q44" s="130">
        <f t="shared" si="6"/>
        <v>0</v>
      </c>
      <c r="R44" s="129">
        <f t="shared" si="0"/>
        <v>0</v>
      </c>
      <c r="S44" s="129">
        <v>0</v>
      </c>
      <c r="T44" s="131"/>
      <c r="U44" s="126">
        <v>0</v>
      </c>
      <c r="V44" s="126">
        <v>0</v>
      </c>
      <c r="W44" s="126"/>
      <c r="X44" s="127"/>
      <c r="Y44" s="132">
        <f t="shared" si="3"/>
        <v>0</v>
      </c>
    </row>
    <row r="45" spans="1:25" s="122" customFormat="1" ht="44.25">
      <c r="A45" s="150" t="s">
        <v>69</v>
      </c>
      <c r="B45" s="97">
        <v>1080</v>
      </c>
      <c r="C45" s="125">
        <v>1883.1</v>
      </c>
      <c r="D45" s="125">
        <v>2461.8</v>
      </c>
      <c r="E45" s="126">
        <v>5835.6</v>
      </c>
      <c r="F45" s="127">
        <v>2126.9</v>
      </c>
      <c r="G45" s="127">
        <v>4218.5</v>
      </c>
      <c r="H45" s="128">
        <v>950.7</v>
      </c>
      <c r="I45" s="127">
        <v>2102.3</v>
      </c>
      <c r="J45" s="144">
        <v>950.7</v>
      </c>
      <c r="K45" s="127"/>
      <c r="L45" s="127">
        <v>943.5</v>
      </c>
      <c r="M45" s="127"/>
      <c r="N45" s="127">
        <v>948.7</v>
      </c>
      <c r="O45" s="129"/>
      <c r="P45" s="128">
        <f>950.7+950.7</f>
        <v>1901.4</v>
      </c>
      <c r="Q45" s="130">
        <v>4218.5</v>
      </c>
      <c r="R45" s="129">
        <f t="shared" si="0"/>
        <v>2317.1</v>
      </c>
      <c r="S45" s="129">
        <v>0</v>
      </c>
      <c r="T45" s="131"/>
      <c r="U45" s="126">
        <v>1011.5</v>
      </c>
      <c r="V45" s="126">
        <v>1115.4</v>
      </c>
      <c r="W45" s="126">
        <v>1586</v>
      </c>
      <c r="X45" s="127">
        <v>2122.7</v>
      </c>
      <c r="Y45" s="132">
        <f t="shared" si="3"/>
        <v>5835.6</v>
      </c>
    </row>
    <row r="46" spans="1:25" s="122" customFormat="1" ht="24">
      <c r="A46" s="145" t="s">
        <v>67</v>
      </c>
      <c r="B46" s="97">
        <v>1081</v>
      </c>
      <c r="C46" s="125">
        <v>0</v>
      </c>
      <c r="D46" s="125">
        <v>0</v>
      </c>
      <c r="E46" s="133">
        <v>0</v>
      </c>
      <c r="F46" s="127">
        <v>0</v>
      </c>
      <c r="G46" s="127">
        <v>0</v>
      </c>
      <c r="H46" s="144">
        <v>0</v>
      </c>
      <c r="I46" s="127">
        <v>0</v>
      </c>
      <c r="J46" s="144">
        <v>0</v>
      </c>
      <c r="K46" s="127"/>
      <c r="L46" s="127"/>
      <c r="M46" s="127"/>
      <c r="N46" s="127"/>
      <c r="O46" s="129"/>
      <c r="P46" s="144">
        <v>0</v>
      </c>
      <c r="Q46" s="130">
        <f aca="true" t="shared" si="7" ref="Q46:Q47">G46-I46-K46-M46</f>
        <v>0</v>
      </c>
      <c r="R46" s="129">
        <f t="shared" si="0"/>
        <v>0</v>
      </c>
      <c r="S46" s="129">
        <v>0</v>
      </c>
      <c r="T46" s="131"/>
      <c r="U46" s="126">
        <v>0</v>
      </c>
      <c r="V46" s="126">
        <v>0</v>
      </c>
      <c r="W46" s="126"/>
      <c r="X46" s="127"/>
      <c r="Y46" s="132">
        <f t="shared" si="3"/>
        <v>0</v>
      </c>
    </row>
    <row r="47" spans="1:25" s="122" customFormat="1" ht="24">
      <c r="A47" s="145" t="s">
        <v>70</v>
      </c>
      <c r="B47" s="97">
        <v>1082</v>
      </c>
      <c r="C47" s="125">
        <v>0</v>
      </c>
      <c r="D47" s="125">
        <v>0</v>
      </c>
      <c r="E47" s="133">
        <v>0</v>
      </c>
      <c r="F47" s="127">
        <v>0</v>
      </c>
      <c r="G47" s="127">
        <v>0</v>
      </c>
      <c r="H47" s="144">
        <v>0</v>
      </c>
      <c r="I47" s="127">
        <v>0</v>
      </c>
      <c r="J47" s="144">
        <v>0</v>
      </c>
      <c r="K47" s="127"/>
      <c r="L47" s="127"/>
      <c r="M47" s="127"/>
      <c r="N47" s="127"/>
      <c r="O47" s="129"/>
      <c r="P47" s="144">
        <v>0</v>
      </c>
      <c r="Q47" s="130">
        <f t="shared" si="7"/>
        <v>0</v>
      </c>
      <c r="R47" s="129">
        <f t="shared" si="0"/>
        <v>0</v>
      </c>
      <c r="S47" s="129">
        <v>0</v>
      </c>
      <c r="T47" s="131"/>
      <c r="U47" s="126">
        <v>0</v>
      </c>
      <c r="V47" s="126">
        <v>0</v>
      </c>
      <c r="W47" s="126"/>
      <c r="X47" s="127"/>
      <c r="Y47" s="132">
        <f t="shared" si="3"/>
        <v>0</v>
      </c>
    </row>
    <row r="48" spans="1:25" s="122" customFormat="1" ht="42" customHeight="1">
      <c r="A48" s="151" t="s">
        <v>71</v>
      </c>
      <c r="B48" s="136">
        <v>1100</v>
      </c>
      <c r="C48" s="137">
        <f>C42+C34-C35-C41-C45</f>
        <v>-6835.800000000003</v>
      </c>
      <c r="D48" s="137">
        <f>D42+D34-D35-D41-D45</f>
        <v>-15415.799999999996</v>
      </c>
      <c r="E48" s="138">
        <f>E42+E34-E35-E41-E45</f>
        <v>-24722.29999999998</v>
      </c>
      <c r="F48" s="139">
        <f>F42+F34-F35-F41-F45</f>
        <v>-8666.1</v>
      </c>
      <c r="G48" s="139">
        <f>G42+G34-G35-G41-G45</f>
        <v>-13154.699999999992</v>
      </c>
      <c r="H48" s="139">
        <f>H42+H34-H35-H41-H45</f>
        <v>-3391</v>
      </c>
      <c r="I48" s="139">
        <f>I42+I34-I35-I41-I45</f>
        <v>-19534.999999999996</v>
      </c>
      <c r="J48" s="139">
        <f>J42+J34-J35-J41-J45</f>
        <v>4888.400000000009</v>
      </c>
      <c r="K48" s="139">
        <f>K42+K34-K35-K41-K45</f>
        <v>0</v>
      </c>
      <c r="L48" s="139">
        <f>L42+L34-L35-L41-L45</f>
        <v>-8374.899999999998</v>
      </c>
      <c r="M48" s="139">
        <f>M42+M34-M35-M41-M45</f>
        <v>0</v>
      </c>
      <c r="N48" s="139">
        <f>N42+N34-N35-N41-N45</f>
        <v>-18242.4</v>
      </c>
      <c r="O48" s="138">
        <f>O42+O34-O35-O41-O45</f>
        <v>0</v>
      </c>
      <c r="P48" s="139">
        <f>P42+P34-P35-P41-P45</f>
        <v>1497.4000000000087</v>
      </c>
      <c r="Q48" s="140">
        <f>Q42+Q34-Q35-Q41-Q45</f>
        <v>-13154.699999999992</v>
      </c>
      <c r="R48" s="141">
        <f t="shared" si="0"/>
        <v>-14652.1</v>
      </c>
      <c r="S48" s="141">
        <v>0</v>
      </c>
      <c r="T48" s="131"/>
      <c r="U48" s="142">
        <f>U42+U34-U35-U41-U45</f>
        <v>-6690.800000000001</v>
      </c>
      <c r="V48" s="142">
        <f>V42+V34-V35-V41-V45</f>
        <v>-1975.2999999999956</v>
      </c>
      <c r="W48" s="142">
        <f>W42+W34-W35-W41-W45</f>
        <v>-14061.9</v>
      </c>
      <c r="X48" s="143">
        <f>X42+X34-X35-X41-X45</f>
        <v>-1994.299999999997</v>
      </c>
      <c r="Y48" s="143">
        <f>Y42+Y34-Y35-Y41-Y45</f>
        <v>-24722.30000000001</v>
      </c>
    </row>
    <row r="49" spans="1:25" s="122" customFormat="1" ht="24">
      <c r="A49" s="152" t="s">
        <v>72</v>
      </c>
      <c r="B49" s="98">
        <v>1310</v>
      </c>
      <c r="C49" s="153">
        <v>0</v>
      </c>
      <c r="D49" s="153">
        <v>0</v>
      </c>
      <c r="E49" s="154">
        <v>0</v>
      </c>
      <c r="F49" s="143">
        <v>0</v>
      </c>
      <c r="G49" s="155">
        <v>0</v>
      </c>
      <c r="H49" s="143">
        <v>0</v>
      </c>
      <c r="I49" s="155">
        <v>0</v>
      </c>
      <c r="J49" s="143">
        <v>0</v>
      </c>
      <c r="K49" s="143"/>
      <c r="L49" s="143"/>
      <c r="M49" s="143"/>
      <c r="N49" s="143"/>
      <c r="O49" s="156"/>
      <c r="P49" s="143">
        <v>0</v>
      </c>
      <c r="Q49" s="130">
        <f aca="true" t="shared" si="8" ref="Q49:Q52">G49-I49-K49-M49</f>
        <v>0</v>
      </c>
      <c r="R49" s="129">
        <f t="shared" si="0"/>
        <v>0</v>
      </c>
      <c r="S49" s="129">
        <v>0</v>
      </c>
      <c r="T49" s="131"/>
      <c r="U49" s="142">
        <v>0</v>
      </c>
      <c r="V49" s="142">
        <v>0</v>
      </c>
      <c r="W49" s="142"/>
      <c r="X49" s="143"/>
      <c r="Y49" s="132">
        <f aca="true" t="shared" si="9" ref="Y49:Y58">U49+V49+W49+X49</f>
        <v>0</v>
      </c>
    </row>
    <row r="50" spans="1:25" s="122" customFormat="1" ht="24">
      <c r="A50" s="152" t="s">
        <v>73</v>
      </c>
      <c r="B50" s="98">
        <v>5010</v>
      </c>
      <c r="C50" s="153">
        <v>0</v>
      </c>
      <c r="D50" s="153">
        <v>0</v>
      </c>
      <c r="E50" s="154">
        <v>0</v>
      </c>
      <c r="F50" s="143">
        <v>0</v>
      </c>
      <c r="G50" s="155">
        <v>0</v>
      </c>
      <c r="H50" s="143">
        <v>0</v>
      </c>
      <c r="I50" s="155">
        <v>0</v>
      </c>
      <c r="J50" s="143">
        <v>0</v>
      </c>
      <c r="K50" s="143"/>
      <c r="L50" s="143"/>
      <c r="M50" s="143"/>
      <c r="N50" s="143"/>
      <c r="O50" s="156"/>
      <c r="P50" s="143">
        <v>0</v>
      </c>
      <c r="Q50" s="130">
        <f t="shared" si="8"/>
        <v>0</v>
      </c>
      <c r="R50" s="129">
        <f t="shared" si="0"/>
        <v>0</v>
      </c>
      <c r="S50" s="129">
        <v>0</v>
      </c>
      <c r="T50" s="131"/>
      <c r="U50" s="142">
        <v>0</v>
      </c>
      <c r="V50" s="142">
        <v>0</v>
      </c>
      <c r="W50" s="142"/>
      <c r="X50" s="143"/>
      <c r="Y50" s="132">
        <f t="shared" si="9"/>
        <v>0</v>
      </c>
    </row>
    <row r="51" spans="1:25" s="122" customFormat="1" ht="24">
      <c r="A51" s="145" t="s">
        <v>74</v>
      </c>
      <c r="B51" s="97">
        <v>1110</v>
      </c>
      <c r="C51" s="125">
        <v>0</v>
      </c>
      <c r="D51" s="125">
        <v>0</v>
      </c>
      <c r="E51" s="133">
        <v>0</v>
      </c>
      <c r="F51" s="127">
        <v>0</v>
      </c>
      <c r="G51" s="127">
        <v>0</v>
      </c>
      <c r="H51" s="144">
        <v>0</v>
      </c>
      <c r="I51" s="127">
        <v>0</v>
      </c>
      <c r="J51" s="144">
        <v>0</v>
      </c>
      <c r="K51" s="127"/>
      <c r="L51" s="127"/>
      <c r="M51" s="127"/>
      <c r="N51" s="127"/>
      <c r="O51" s="129"/>
      <c r="P51" s="144">
        <v>0</v>
      </c>
      <c r="Q51" s="130">
        <f t="shared" si="8"/>
        <v>0</v>
      </c>
      <c r="R51" s="129">
        <f t="shared" si="0"/>
        <v>0</v>
      </c>
      <c r="S51" s="129">
        <v>0</v>
      </c>
      <c r="T51" s="131"/>
      <c r="U51" s="126">
        <v>0</v>
      </c>
      <c r="V51" s="126">
        <v>0</v>
      </c>
      <c r="W51" s="126"/>
      <c r="X51" s="127"/>
      <c r="Y51" s="132">
        <f t="shared" si="9"/>
        <v>0</v>
      </c>
    </row>
    <row r="52" spans="1:25" s="122" customFormat="1" ht="24">
      <c r="A52" s="145" t="s">
        <v>75</v>
      </c>
      <c r="B52" s="97">
        <v>1120</v>
      </c>
      <c r="C52" s="125">
        <v>0</v>
      </c>
      <c r="D52" s="125">
        <v>0</v>
      </c>
      <c r="E52" s="133">
        <v>0</v>
      </c>
      <c r="F52" s="127">
        <v>0</v>
      </c>
      <c r="G52" s="127">
        <v>0</v>
      </c>
      <c r="H52" s="144">
        <v>0</v>
      </c>
      <c r="I52" s="127">
        <v>0</v>
      </c>
      <c r="J52" s="144">
        <v>0</v>
      </c>
      <c r="K52" s="127"/>
      <c r="L52" s="127"/>
      <c r="M52" s="127"/>
      <c r="N52" s="127"/>
      <c r="O52" s="129"/>
      <c r="P52" s="144">
        <v>0</v>
      </c>
      <c r="Q52" s="130">
        <f t="shared" si="8"/>
        <v>0</v>
      </c>
      <c r="R52" s="129">
        <f t="shared" si="0"/>
        <v>0</v>
      </c>
      <c r="S52" s="129">
        <v>0</v>
      </c>
      <c r="T52" s="131"/>
      <c r="U52" s="126">
        <v>0</v>
      </c>
      <c r="V52" s="126">
        <v>0</v>
      </c>
      <c r="W52" s="126"/>
      <c r="X52" s="127"/>
      <c r="Y52" s="132">
        <f t="shared" si="9"/>
        <v>0</v>
      </c>
    </row>
    <row r="53" spans="1:25" s="122" customFormat="1" ht="24">
      <c r="A53" s="145" t="s">
        <v>76</v>
      </c>
      <c r="B53" s="97">
        <v>1130</v>
      </c>
      <c r="C53" s="125">
        <v>0</v>
      </c>
      <c r="D53" s="125">
        <v>0.8</v>
      </c>
      <c r="E53" s="126">
        <v>51.1</v>
      </c>
      <c r="F53" s="127">
        <v>10.6</v>
      </c>
      <c r="G53" s="127">
        <v>48.4</v>
      </c>
      <c r="H53" s="144">
        <v>0</v>
      </c>
      <c r="I53" s="127">
        <v>40.5</v>
      </c>
      <c r="J53" s="144">
        <v>0</v>
      </c>
      <c r="K53" s="127"/>
      <c r="L53" s="127"/>
      <c r="M53" s="127"/>
      <c r="N53" s="127"/>
      <c r="O53" s="129"/>
      <c r="P53" s="144">
        <v>0</v>
      </c>
      <c r="Q53" s="130">
        <v>48.4</v>
      </c>
      <c r="R53" s="129">
        <f t="shared" si="0"/>
        <v>48.4</v>
      </c>
      <c r="S53" s="129">
        <v>0</v>
      </c>
      <c r="T53" s="131"/>
      <c r="U53" s="126">
        <v>1</v>
      </c>
      <c r="V53" s="126">
        <v>9.6</v>
      </c>
      <c r="W53" s="126">
        <v>9.4</v>
      </c>
      <c r="X53" s="127">
        <v>31.1</v>
      </c>
      <c r="Y53" s="132">
        <f t="shared" si="9"/>
        <v>51.1</v>
      </c>
    </row>
    <row r="54" spans="1:25" s="122" customFormat="1" ht="44.25">
      <c r="A54" s="145" t="s">
        <v>77</v>
      </c>
      <c r="B54" s="97">
        <v>1140</v>
      </c>
      <c r="C54" s="125">
        <v>20.7</v>
      </c>
      <c r="D54" s="125">
        <v>0</v>
      </c>
      <c r="E54" s="126">
        <v>1900.6</v>
      </c>
      <c r="F54" s="127">
        <v>0</v>
      </c>
      <c r="G54" s="127">
        <v>2076.5</v>
      </c>
      <c r="H54" s="144">
        <v>0</v>
      </c>
      <c r="I54" s="127">
        <v>1128.7</v>
      </c>
      <c r="J54" s="144">
        <v>0</v>
      </c>
      <c r="K54" s="127"/>
      <c r="L54" s="127"/>
      <c r="M54" s="127"/>
      <c r="N54" s="127"/>
      <c r="O54" s="129"/>
      <c r="P54" s="128">
        <v>0</v>
      </c>
      <c r="Q54" s="130">
        <v>2076.5</v>
      </c>
      <c r="R54" s="129">
        <f t="shared" si="0"/>
        <v>2076.5</v>
      </c>
      <c r="S54" s="129">
        <v>0</v>
      </c>
      <c r="T54" s="131"/>
      <c r="U54" s="126">
        <v>0</v>
      </c>
      <c r="V54" s="126">
        <v>0</v>
      </c>
      <c r="W54" s="126">
        <v>747.1</v>
      </c>
      <c r="X54" s="127">
        <v>1153.5</v>
      </c>
      <c r="Y54" s="132">
        <f t="shared" si="9"/>
        <v>1900.6</v>
      </c>
    </row>
    <row r="55" spans="1:25" s="122" customFormat="1" ht="44.25">
      <c r="A55" s="145" t="s">
        <v>78</v>
      </c>
      <c r="B55" s="97">
        <v>1150</v>
      </c>
      <c r="C55" s="125">
        <v>481.5</v>
      </c>
      <c r="D55" s="125">
        <v>1634.2</v>
      </c>
      <c r="E55" s="126">
        <v>4164.5</v>
      </c>
      <c r="F55" s="127">
        <v>1998</v>
      </c>
      <c r="G55" s="127">
        <v>2401.3</v>
      </c>
      <c r="H55" s="144">
        <v>500</v>
      </c>
      <c r="I55" s="127">
        <v>1161.2</v>
      </c>
      <c r="J55" s="144">
        <v>500</v>
      </c>
      <c r="K55" s="127"/>
      <c r="L55" s="127">
        <v>750</v>
      </c>
      <c r="M55" s="127"/>
      <c r="N55" s="127">
        <v>750</v>
      </c>
      <c r="O55" s="129"/>
      <c r="P55" s="128">
        <v>1000</v>
      </c>
      <c r="Q55" s="130">
        <v>2401.3</v>
      </c>
      <c r="R55" s="129">
        <f t="shared" si="0"/>
        <v>1401.3000000000002</v>
      </c>
      <c r="S55" s="129">
        <f>Q55/P55%</f>
        <v>240.13000000000002</v>
      </c>
      <c r="T55" s="131"/>
      <c r="U55" s="126">
        <v>976.6</v>
      </c>
      <c r="V55" s="126">
        <v>1021.4</v>
      </c>
      <c r="W55" s="126">
        <v>1045.5</v>
      </c>
      <c r="X55" s="127">
        <v>1121</v>
      </c>
      <c r="Y55" s="132">
        <f t="shared" si="9"/>
        <v>4164.5</v>
      </c>
    </row>
    <row r="56" spans="1:25" s="122" customFormat="1" ht="24">
      <c r="A56" s="145" t="s">
        <v>67</v>
      </c>
      <c r="B56" s="97">
        <v>1151</v>
      </c>
      <c r="C56" s="125">
        <v>0</v>
      </c>
      <c r="D56" s="125">
        <v>0</v>
      </c>
      <c r="E56" s="133">
        <v>0</v>
      </c>
      <c r="F56" s="127">
        <v>0</v>
      </c>
      <c r="G56" s="127">
        <v>0</v>
      </c>
      <c r="H56" s="144">
        <v>0</v>
      </c>
      <c r="I56" s="127">
        <v>0</v>
      </c>
      <c r="J56" s="144">
        <v>0</v>
      </c>
      <c r="K56" s="127"/>
      <c r="L56" s="127"/>
      <c r="M56" s="127"/>
      <c r="N56" s="127"/>
      <c r="O56" s="129"/>
      <c r="P56" s="144">
        <v>0</v>
      </c>
      <c r="Q56" s="130">
        <f aca="true" t="shared" si="10" ref="Q56:Q58">G56-I56-K56-M56</f>
        <v>0</v>
      </c>
      <c r="R56" s="129">
        <f t="shared" si="0"/>
        <v>0</v>
      </c>
      <c r="S56" s="129">
        <v>0</v>
      </c>
      <c r="T56" s="131"/>
      <c r="U56" s="126">
        <v>0</v>
      </c>
      <c r="V56" s="126">
        <v>0</v>
      </c>
      <c r="W56" s="126"/>
      <c r="X56" s="127"/>
      <c r="Y56" s="132">
        <f t="shared" si="9"/>
        <v>0</v>
      </c>
    </row>
    <row r="57" spans="1:25" s="122" customFormat="1" ht="24">
      <c r="A57" s="145" t="s">
        <v>79</v>
      </c>
      <c r="B57" s="97">
        <v>1160</v>
      </c>
      <c r="C57" s="125">
        <v>0</v>
      </c>
      <c r="D57" s="125">
        <v>58.5</v>
      </c>
      <c r="E57" s="133">
        <v>0</v>
      </c>
      <c r="F57" s="127">
        <v>0</v>
      </c>
      <c r="G57" s="127">
        <v>0</v>
      </c>
      <c r="H57" s="144">
        <v>0</v>
      </c>
      <c r="I57" s="127">
        <v>0</v>
      </c>
      <c r="J57" s="144">
        <v>0</v>
      </c>
      <c r="K57" s="127"/>
      <c r="L57" s="127"/>
      <c r="M57" s="127"/>
      <c r="N57" s="127"/>
      <c r="O57" s="129"/>
      <c r="P57" s="144">
        <v>0</v>
      </c>
      <c r="Q57" s="130">
        <f t="shared" si="10"/>
        <v>0</v>
      </c>
      <c r="R57" s="129">
        <f t="shared" si="0"/>
        <v>0</v>
      </c>
      <c r="S57" s="129">
        <v>0</v>
      </c>
      <c r="T57" s="131"/>
      <c r="U57" s="126">
        <v>0</v>
      </c>
      <c r="V57" s="126">
        <v>0</v>
      </c>
      <c r="W57" s="126"/>
      <c r="X57" s="127"/>
      <c r="Y57" s="132">
        <f t="shared" si="9"/>
        <v>0</v>
      </c>
    </row>
    <row r="58" spans="1:25" s="122" customFormat="1" ht="24">
      <c r="A58" s="145" t="s">
        <v>67</v>
      </c>
      <c r="B58" s="97">
        <v>1161</v>
      </c>
      <c r="C58" s="125">
        <v>0</v>
      </c>
      <c r="D58" s="125">
        <v>0</v>
      </c>
      <c r="E58" s="133">
        <v>0</v>
      </c>
      <c r="F58" s="127">
        <v>0</v>
      </c>
      <c r="G58" s="127">
        <v>0</v>
      </c>
      <c r="H58" s="144">
        <v>0</v>
      </c>
      <c r="I58" s="127">
        <v>0</v>
      </c>
      <c r="J58" s="144">
        <v>0</v>
      </c>
      <c r="K58" s="127"/>
      <c r="L58" s="127"/>
      <c r="M58" s="127"/>
      <c r="N58" s="127"/>
      <c r="O58" s="129"/>
      <c r="P58" s="144">
        <v>0</v>
      </c>
      <c r="Q58" s="130">
        <f t="shared" si="10"/>
        <v>0</v>
      </c>
      <c r="R58" s="129">
        <f t="shared" si="0"/>
        <v>0</v>
      </c>
      <c r="S58" s="129">
        <v>0</v>
      </c>
      <c r="T58" s="131"/>
      <c r="U58" s="126">
        <v>0</v>
      </c>
      <c r="V58" s="126">
        <v>0</v>
      </c>
      <c r="W58" s="126"/>
      <c r="X58" s="127"/>
      <c r="Y58" s="132">
        <f t="shared" si="9"/>
        <v>0</v>
      </c>
    </row>
    <row r="59" spans="1:25" s="122" customFormat="1" ht="30.75" customHeight="1">
      <c r="A59" s="157" t="s">
        <v>80</v>
      </c>
      <c r="B59" s="158">
        <v>1170</v>
      </c>
      <c r="C59" s="137">
        <f>(C48-C54-C57)-(-C55)</f>
        <v>-6375.000000000003</v>
      </c>
      <c r="D59" s="137">
        <f>(D48+D53-D54-D57)-(-D55)</f>
        <v>-13839.299999999996</v>
      </c>
      <c r="E59" s="139">
        <f>(E48-E54-E57)-(-E55)-(-E53)</f>
        <v>-22407.29999999998</v>
      </c>
      <c r="F59" s="139">
        <f>(F48-F54-F57)-(-F55)+F53</f>
        <v>-6657.5</v>
      </c>
      <c r="G59" s="139">
        <f>(G48-G54-G57)-(-G55)-(-G53)</f>
        <v>-12781.49999999999</v>
      </c>
      <c r="H59" s="139">
        <f>(H48-H54-H57)-(-H55)-(-H53)</f>
        <v>-2891</v>
      </c>
      <c r="I59" s="139">
        <f>(I48-I54-I57)-(-I55)-(-I53)</f>
        <v>-19461.999999999996</v>
      </c>
      <c r="J59" s="139">
        <f>(J48-J54-J57)-(-J55)-(-J53)</f>
        <v>5388.400000000009</v>
      </c>
      <c r="K59" s="139">
        <f>(K48-K54-K57)-(-K55)-(-K53)</f>
        <v>0</v>
      </c>
      <c r="L59" s="139">
        <f>(L48-L54-L57)-(-L55)-(-L53)</f>
        <v>-7624.899999999998</v>
      </c>
      <c r="M59" s="139">
        <f>(M48-M54-M57)-(-M55)-(-M53)</f>
        <v>0</v>
      </c>
      <c r="N59" s="139">
        <f>(N48-N54-N57)-(-N55)-(-N53)</f>
        <v>-17492.4</v>
      </c>
      <c r="O59" s="138">
        <f>(O48-O54-O57)-(-O55)-(-O53)</f>
        <v>0</v>
      </c>
      <c r="P59" s="139">
        <f>(P48-P54-P57)-(-P55)-(-P53)</f>
        <v>2497.4000000000087</v>
      </c>
      <c r="Q59" s="140">
        <f>(Q48-Q54-Q57)-(-Q55)-(-Q53)</f>
        <v>-12781.49999999999</v>
      </c>
      <c r="R59" s="141">
        <f t="shared" si="0"/>
        <v>-15278.9</v>
      </c>
      <c r="S59" s="141">
        <v>0</v>
      </c>
      <c r="T59" s="131"/>
      <c r="U59" s="142">
        <f>(U48-U54-U57)-(-U55)+U53</f>
        <v>-5713.200000000001</v>
      </c>
      <c r="V59" s="142">
        <f>(V48-V54-V57)-(-V55)-(-V53)</f>
        <v>-944.2999999999956</v>
      </c>
      <c r="W59" s="142">
        <f>(W48-W54-W57)-(-W55)-(-W53)</f>
        <v>-13754.1</v>
      </c>
      <c r="X59" s="143">
        <f>(X48-X54-X57)-(-X55)-(-X53)</f>
        <v>-1995.699999999997</v>
      </c>
      <c r="Y59" s="143">
        <f>(Y48-Y54-Y57)-(-Y55)-(-Y53)</f>
        <v>-22407.30000000001</v>
      </c>
    </row>
    <row r="60" spans="1:25" s="122" customFormat="1" ht="24">
      <c r="A60" s="145" t="s">
        <v>81</v>
      </c>
      <c r="B60" s="98">
        <v>1180</v>
      </c>
      <c r="C60" s="125">
        <v>281.7</v>
      </c>
      <c r="D60" s="125">
        <v>0</v>
      </c>
      <c r="E60" s="133">
        <v>0</v>
      </c>
      <c r="F60" s="127">
        <v>0</v>
      </c>
      <c r="G60" s="127">
        <v>0</v>
      </c>
      <c r="H60" s="144">
        <v>0</v>
      </c>
      <c r="I60" s="127">
        <v>0</v>
      </c>
      <c r="J60" s="144">
        <v>0</v>
      </c>
      <c r="K60" s="127">
        <v>0</v>
      </c>
      <c r="L60" s="127"/>
      <c r="M60" s="127"/>
      <c r="N60" s="127"/>
      <c r="O60" s="129"/>
      <c r="P60" s="144">
        <v>0</v>
      </c>
      <c r="Q60" s="130">
        <f aca="true" t="shared" si="11" ref="Q60:Q63">G60-I60-K60-M60</f>
        <v>0</v>
      </c>
      <c r="R60" s="129">
        <f t="shared" si="0"/>
        <v>0</v>
      </c>
      <c r="S60" s="129">
        <v>0</v>
      </c>
      <c r="T60" s="131"/>
      <c r="U60" s="126">
        <v>0</v>
      </c>
      <c r="V60" s="126">
        <v>0</v>
      </c>
      <c r="W60" s="126"/>
      <c r="X60" s="127"/>
      <c r="Y60" s="132">
        <f aca="true" t="shared" si="12" ref="Y60:Y63">U60+V60+W60+X60</f>
        <v>0</v>
      </c>
    </row>
    <row r="61" spans="1:25" s="122" customFormat="1" ht="24">
      <c r="A61" s="145" t="s">
        <v>82</v>
      </c>
      <c r="B61" s="98">
        <v>1181</v>
      </c>
      <c r="C61" s="125">
        <v>0</v>
      </c>
      <c r="D61" s="125">
        <v>0</v>
      </c>
      <c r="E61" s="133">
        <v>0</v>
      </c>
      <c r="F61" s="127">
        <v>0</v>
      </c>
      <c r="G61" s="127">
        <v>0</v>
      </c>
      <c r="H61" s="144">
        <v>0</v>
      </c>
      <c r="I61" s="127">
        <v>0</v>
      </c>
      <c r="J61" s="144">
        <v>0</v>
      </c>
      <c r="K61" s="127">
        <v>0</v>
      </c>
      <c r="L61" s="127"/>
      <c r="M61" s="127"/>
      <c r="N61" s="127"/>
      <c r="O61" s="129"/>
      <c r="P61" s="144">
        <v>0</v>
      </c>
      <c r="Q61" s="130">
        <f t="shared" si="11"/>
        <v>0</v>
      </c>
      <c r="R61" s="129">
        <f t="shared" si="0"/>
        <v>0</v>
      </c>
      <c r="S61" s="129">
        <v>0</v>
      </c>
      <c r="T61" s="131"/>
      <c r="U61" s="126">
        <v>0</v>
      </c>
      <c r="V61" s="126">
        <v>0</v>
      </c>
      <c r="W61" s="126"/>
      <c r="X61" s="127"/>
      <c r="Y61" s="132">
        <f t="shared" si="12"/>
        <v>0</v>
      </c>
    </row>
    <row r="62" spans="1:25" s="122" customFormat="1" ht="24">
      <c r="A62" s="145" t="s">
        <v>83</v>
      </c>
      <c r="B62" s="97">
        <v>1190</v>
      </c>
      <c r="C62" s="125">
        <v>0</v>
      </c>
      <c r="D62" s="125">
        <v>0</v>
      </c>
      <c r="E62" s="133">
        <v>0</v>
      </c>
      <c r="F62" s="127">
        <v>0</v>
      </c>
      <c r="G62" s="127">
        <v>0</v>
      </c>
      <c r="H62" s="144">
        <v>0</v>
      </c>
      <c r="I62" s="127">
        <v>0</v>
      </c>
      <c r="J62" s="144">
        <v>0</v>
      </c>
      <c r="K62" s="127">
        <v>0</v>
      </c>
      <c r="L62" s="127"/>
      <c r="M62" s="127"/>
      <c r="N62" s="127"/>
      <c r="O62" s="129"/>
      <c r="P62" s="128">
        <v>0</v>
      </c>
      <c r="Q62" s="130">
        <f t="shared" si="11"/>
        <v>0</v>
      </c>
      <c r="R62" s="129">
        <f t="shared" si="0"/>
        <v>0</v>
      </c>
      <c r="S62" s="129">
        <v>0</v>
      </c>
      <c r="T62" s="131"/>
      <c r="U62" s="126">
        <v>0</v>
      </c>
      <c r="V62" s="126">
        <v>0</v>
      </c>
      <c r="W62" s="126"/>
      <c r="X62" s="127"/>
      <c r="Y62" s="132">
        <f t="shared" si="12"/>
        <v>0</v>
      </c>
    </row>
    <row r="63" spans="1:25" s="122" customFormat="1" ht="24">
      <c r="A63" s="145" t="s">
        <v>84</v>
      </c>
      <c r="B63" s="97">
        <v>1191</v>
      </c>
      <c r="C63" s="125">
        <v>0</v>
      </c>
      <c r="D63" s="125">
        <v>0</v>
      </c>
      <c r="E63" s="133">
        <v>0</v>
      </c>
      <c r="F63" s="127">
        <v>0</v>
      </c>
      <c r="G63" s="127">
        <v>0</v>
      </c>
      <c r="H63" s="144">
        <v>0</v>
      </c>
      <c r="I63" s="127">
        <v>0</v>
      </c>
      <c r="J63" s="144">
        <v>0</v>
      </c>
      <c r="K63" s="127">
        <v>0</v>
      </c>
      <c r="L63" s="127"/>
      <c r="M63" s="127"/>
      <c r="N63" s="127"/>
      <c r="O63" s="129"/>
      <c r="P63" s="144">
        <v>0</v>
      </c>
      <c r="Q63" s="130">
        <f t="shared" si="11"/>
        <v>0</v>
      </c>
      <c r="R63" s="129">
        <f t="shared" si="0"/>
        <v>0</v>
      </c>
      <c r="S63" s="129">
        <v>0</v>
      </c>
      <c r="T63" s="131"/>
      <c r="U63" s="126">
        <v>0</v>
      </c>
      <c r="V63" s="126">
        <v>0</v>
      </c>
      <c r="W63" s="126"/>
      <c r="X63" s="127"/>
      <c r="Y63" s="132">
        <f t="shared" si="12"/>
        <v>0</v>
      </c>
    </row>
    <row r="64" spans="1:25" s="122" customFormat="1" ht="65.25">
      <c r="A64" s="151" t="s">
        <v>85</v>
      </c>
      <c r="B64" s="159">
        <v>1200</v>
      </c>
      <c r="C64" s="137">
        <f>C59-C60+C61+C62+C63</f>
        <v>-6656.700000000003</v>
      </c>
      <c r="D64" s="137">
        <f>D59-D60+D61+D62+D63</f>
        <v>-13839.299999999996</v>
      </c>
      <c r="E64" s="138">
        <f>E59-E60+E61+E62+E63</f>
        <v>-22407.29999999998</v>
      </c>
      <c r="F64" s="139">
        <f>F59-F60+F61+F62+F63</f>
        <v>-6657.5</v>
      </c>
      <c r="G64" s="139">
        <f>G59-G60+G61+G62+G63</f>
        <v>-12781.49999999999</v>
      </c>
      <c r="H64" s="139">
        <f>H59-H60+H61+H62+H63</f>
        <v>-2891</v>
      </c>
      <c r="I64" s="139">
        <f>I59-I60+I61+I62+I63</f>
        <v>-19461.999999999996</v>
      </c>
      <c r="J64" s="139">
        <f>J59-J60+J61+J62+J63</f>
        <v>5388.400000000009</v>
      </c>
      <c r="K64" s="139">
        <f>K59-K60+K61+K62+K63</f>
        <v>0</v>
      </c>
      <c r="L64" s="139">
        <f>L59-L60+L61+L62+L63</f>
        <v>-7624.899999999998</v>
      </c>
      <c r="M64" s="139">
        <f>M59-M60+M61+M62+M63</f>
        <v>0</v>
      </c>
      <c r="N64" s="139">
        <f>N59-N60+N61+N62+N63</f>
        <v>-17492.4</v>
      </c>
      <c r="O64" s="138">
        <f>O59-O60+O61+O62+O63</f>
        <v>0</v>
      </c>
      <c r="P64" s="139">
        <f>P59-P60+P61+P62+P63</f>
        <v>2497.4000000000087</v>
      </c>
      <c r="Q64" s="140">
        <f>Q59-Q60+Q61+Q62+Q63</f>
        <v>-12781.49999999999</v>
      </c>
      <c r="R64" s="141">
        <f t="shared" si="0"/>
        <v>-15278.9</v>
      </c>
      <c r="S64" s="141">
        <v>0</v>
      </c>
      <c r="T64" s="131"/>
      <c r="U64" s="142">
        <f>U59-U60+U61+U62+U63</f>
        <v>-5713.200000000001</v>
      </c>
      <c r="V64" s="142">
        <f>V59-V60+V61+V62+V63</f>
        <v>-944.2999999999956</v>
      </c>
      <c r="W64" s="142">
        <f>W59-W60+W61+W62+W63</f>
        <v>-13754.1</v>
      </c>
      <c r="X64" s="143">
        <f>X59-X60+X61+X62+X63</f>
        <v>-1995.699999999997</v>
      </c>
      <c r="Y64" s="143">
        <f>Y59-Y60+Y61+Y62+Y63</f>
        <v>-22407.30000000001</v>
      </c>
    </row>
    <row r="65" spans="1:25" s="122" customFormat="1" ht="24">
      <c r="A65" s="145" t="s">
        <v>86</v>
      </c>
      <c r="B65" s="97">
        <v>1201</v>
      </c>
      <c r="C65" s="125">
        <v>0</v>
      </c>
      <c r="D65" s="125">
        <v>0</v>
      </c>
      <c r="E65" s="133">
        <v>0</v>
      </c>
      <c r="F65" s="127">
        <v>0</v>
      </c>
      <c r="G65" s="127">
        <v>0</v>
      </c>
      <c r="H65" s="144">
        <v>0</v>
      </c>
      <c r="I65" s="127">
        <v>0</v>
      </c>
      <c r="J65" s="144">
        <v>0</v>
      </c>
      <c r="K65" s="127">
        <v>0</v>
      </c>
      <c r="L65" s="127"/>
      <c r="M65" s="127"/>
      <c r="N65" s="127"/>
      <c r="O65" s="129"/>
      <c r="P65" s="144">
        <v>0</v>
      </c>
      <c r="Q65" s="130">
        <f>G65-I65-K65-M65</f>
        <v>0</v>
      </c>
      <c r="R65" s="129">
        <f t="shared" si="0"/>
        <v>0</v>
      </c>
      <c r="S65" s="129">
        <v>0</v>
      </c>
      <c r="T65" s="131"/>
      <c r="U65" s="126">
        <v>0</v>
      </c>
      <c r="V65" s="126">
        <v>0</v>
      </c>
      <c r="W65" s="126"/>
      <c r="X65" s="127"/>
      <c r="Y65" s="132">
        <f>U65+V65+W65+X65</f>
        <v>0</v>
      </c>
    </row>
    <row r="66" spans="1:25" s="122" customFormat="1" ht="44.25">
      <c r="A66" s="160" t="s">
        <v>87</v>
      </c>
      <c r="B66" s="159">
        <v>1202</v>
      </c>
      <c r="C66" s="161">
        <f>-(C64)</f>
        <v>6656.700000000003</v>
      </c>
      <c r="D66" s="161">
        <f>-(D64)</f>
        <v>13839.299999999996</v>
      </c>
      <c r="E66" s="141">
        <f>-(E64)</f>
        <v>22407.29999999998</v>
      </c>
      <c r="F66" s="162">
        <f>-(F64)</f>
        <v>6657.5</v>
      </c>
      <c r="G66" s="162">
        <f>-(G64)</f>
        <v>12781.49999999999</v>
      </c>
      <c r="H66" s="162">
        <f>-(H64)</f>
        <v>2891</v>
      </c>
      <c r="I66" s="162">
        <f>-(I64)</f>
        <v>19461.999999999996</v>
      </c>
      <c r="J66" s="162">
        <f>-(J64)</f>
        <v>-5388.400000000009</v>
      </c>
      <c r="K66" s="162">
        <f>-(K64)</f>
        <v>0</v>
      </c>
      <c r="L66" s="162">
        <f>-(L64)</f>
        <v>7624.899999999998</v>
      </c>
      <c r="M66" s="162">
        <f>-(M64)</f>
        <v>0</v>
      </c>
      <c r="N66" s="162">
        <f>-(N64)</f>
        <v>17492.4</v>
      </c>
      <c r="O66" s="141">
        <f>-(O64)</f>
        <v>0</v>
      </c>
      <c r="P66" s="162">
        <f>-(P64)</f>
        <v>-2497.4000000000087</v>
      </c>
      <c r="Q66" s="163">
        <f>-(Q64)</f>
        <v>12781.49999999999</v>
      </c>
      <c r="R66" s="141">
        <f t="shared" si="0"/>
        <v>15278.9</v>
      </c>
      <c r="S66" s="141">
        <v>0</v>
      </c>
      <c r="T66" s="131"/>
      <c r="U66" s="126">
        <f>-(U64)</f>
        <v>5713.200000000001</v>
      </c>
      <c r="V66" s="126">
        <f>-(V64)</f>
        <v>944.2999999999956</v>
      </c>
      <c r="W66" s="126">
        <f>-(W64)</f>
        <v>13754.1</v>
      </c>
      <c r="X66" s="126">
        <f>-(X64)</f>
        <v>1995.699999999997</v>
      </c>
      <c r="Y66" s="126">
        <f>-(Y64)</f>
        <v>22407.30000000001</v>
      </c>
    </row>
    <row r="67" spans="1:25" s="122" customFormat="1" ht="44.25">
      <c r="A67" s="151" t="s">
        <v>88</v>
      </c>
      <c r="B67" s="159">
        <v>1210</v>
      </c>
      <c r="C67" s="137">
        <f>SUM(C31,C42,C51,C53,C55,C61,C62)</f>
        <v>42882</v>
      </c>
      <c r="D67" s="137">
        <f>SUM(D31,D42,D51,D53,D55,D61,D62)</f>
        <v>116904.90000000001</v>
      </c>
      <c r="E67" s="138">
        <f>SUM(E31,E42,E51,E53,E55,E61,E62)</f>
        <v>171671.30000000002</v>
      </c>
      <c r="F67" s="139">
        <f>SUM(F31,F42,F51,F53,F55,F61,F62)</f>
        <v>76224.20000000001</v>
      </c>
      <c r="G67" s="139">
        <f>SUM(G31,G42,G51,G53,G55,G61,G62)</f>
        <v>110138.5</v>
      </c>
      <c r="H67" s="139">
        <f>SUM(H31,H32,H42,H51,H53,H55,H61,H62)</f>
        <v>59796.8</v>
      </c>
      <c r="I67" s="139">
        <f>SUM(I31,I42,I51,I53,I55,I61,I62)</f>
        <v>45428.4</v>
      </c>
      <c r="J67" s="139">
        <f>SUM(J31,J32,J42,J51,J53,J55,J61,J62)</f>
        <v>60648.100000000006</v>
      </c>
      <c r="K67" s="139">
        <f>SUM(K31,K32,K42,K51,K53,K55,K61,K62)</f>
        <v>0</v>
      </c>
      <c r="L67" s="139">
        <f>SUM(L31,L32,L42,L51,L53,L55,L61,L62)</f>
        <v>49539.9</v>
      </c>
      <c r="M67" s="139">
        <f>SUM(M31,M32,M42,M51,M53,M55,M61,M62)</f>
        <v>0</v>
      </c>
      <c r="N67" s="139">
        <f>SUM(N31,N32,N42,N51,N53,N55,N61,N62)</f>
        <v>44215.2</v>
      </c>
      <c r="O67" s="138">
        <f>SUM(O31,O32,O42,O51,O53,O55,O61,O62)</f>
        <v>0</v>
      </c>
      <c r="P67" s="139">
        <f>SUM(P31,P32,P42,P51,P53,P55,P61,P62)</f>
        <v>120444.90000000001</v>
      </c>
      <c r="Q67" s="140">
        <f>SUM(Q31,Q32,Q42,Q51,Q53,Q55,Q61,Q62)</f>
        <v>110138.5</v>
      </c>
      <c r="R67" s="141">
        <f t="shared" si="0"/>
        <v>-10306.400000000009</v>
      </c>
      <c r="S67" s="141">
        <f aca="true" t="shared" si="13" ref="S67:S68">Q67/P67%</f>
        <v>91.44305819507508</v>
      </c>
      <c r="T67" s="131"/>
      <c r="U67" s="142">
        <f>SUM(U31,U42,U51,U53,U55,U61,U62)</f>
        <v>36317.3</v>
      </c>
      <c r="V67" s="142">
        <f>SUM(V31,V32,V42,V51,V53,V55,V61,V62)</f>
        <v>39906.9</v>
      </c>
      <c r="W67" s="142">
        <f>SUM(W31,W32,W42,W51,W53,W55,W61,W62)</f>
        <v>39520.5</v>
      </c>
      <c r="X67" s="143">
        <f>SUM(X31,X42,X51,X53,X55,X61,X62)</f>
        <v>55926.6</v>
      </c>
      <c r="Y67" s="143">
        <f>SUM(Y31,Y42,Y51,Y53,Y55,Y61,Y62)</f>
        <v>171671.30000000002</v>
      </c>
    </row>
    <row r="68" spans="1:25" s="122" customFormat="1" ht="44.25">
      <c r="A68" s="151" t="s">
        <v>89</v>
      </c>
      <c r="B68" s="159">
        <v>1220</v>
      </c>
      <c r="C68" s="137">
        <f>SUM(C33,C35,C41,C45,C52,C54,C57,C60,C63)</f>
        <v>49538.700000000004</v>
      </c>
      <c r="D68" s="137">
        <f>SUM(D33,D35,D41,D45,D52,D54,D57,D60,D63)</f>
        <v>130744.2</v>
      </c>
      <c r="E68" s="138">
        <f>SUM(E33,E35,E41,E45,E52,E54,E57,E60,E63)</f>
        <v>194078.6</v>
      </c>
      <c r="F68" s="140">
        <f>SUM(F33,F35,F41,F45,F52,F54,F57,F60,F63)</f>
        <v>82881.70000000001</v>
      </c>
      <c r="G68" s="139">
        <f>SUM(G33,G35,G41,G45,G52,G54,G57,G60,G63)</f>
        <v>122920</v>
      </c>
      <c r="H68" s="139">
        <f>SUM(H33,H35,H41,H45,H52,H54,H57,H60,H63)</f>
        <v>62687.8</v>
      </c>
      <c r="I68" s="139">
        <f>SUM(I33,I35,I41,I45,I52,I54,I57,I60,I63)</f>
        <v>64890.4</v>
      </c>
      <c r="J68" s="139">
        <f>SUM(J33,J35,J41,J45,J52,J54,J57,J60,J63)</f>
        <v>55259.7</v>
      </c>
      <c r="K68" s="139">
        <f>SUM(K33,K35,K41,K45,K52,K54,K57,K60,K63)</f>
        <v>0</v>
      </c>
      <c r="L68" s="139">
        <f>SUM(L33,L35,L41,L45,L52,L54,L57,L60,L63)</f>
        <v>57164.799999999996</v>
      </c>
      <c r="M68" s="139">
        <f>SUM(M33,M35,M41,M45,M52,M54,M57,M60,M63)</f>
        <v>0</v>
      </c>
      <c r="N68" s="139">
        <f>SUM(N33,N35,N41,N45,N52,N54,N57,N60,N63)</f>
        <v>61707.6</v>
      </c>
      <c r="O68" s="138">
        <f>SUM(O33,O35,O41,O45,O52,O54,O57,O60,O63)</f>
        <v>0</v>
      </c>
      <c r="P68" s="140">
        <f>SUM(P33,P35,P41,P45,P52,P54,P57,P60,P63)</f>
        <v>117947.5</v>
      </c>
      <c r="Q68" s="140">
        <f>SUM(Q33,Q35,Q41,Q45,Q52,Q54,Q57,Q60,Q63)</f>
        <v>122920</v>
      </c>
      <c r="R68" s="141">
        <f t="shared" si="0"/>
        <v>4972.5</v>
      </c>
      <c r="S68" s="141">
        <f t="shared" si="13"/>
        <v>104.21585875071537</v>
      </c>
      <c r="T68" s="131"/>
      <c r="U68" s="142">
        <f>SUM(U32,U35,U41,U45,U52,U54,U57,U60,U63)</f>
        <v>2449.6</v>
      </c>
      <c r="V68" s="142">
        <f>SUM(V33,V35,V41,V45,V52,V54,V57,V60,V63)</f>
        <v>40851.2</v>
      </c>
      <c r="W68" s="142">
        <f>SUM(W33,W35,W41,W45,W52,W54,W57,W60,W63)</f>
        <v>53274.6</v>
      </c>
      <c r="X68" s="143">
        <f>SUM(X33,X35,X41,X45,X52,X54,X57,X60,X63)</f>
        <v>57922.299999999996</v>
      </c>
      <c r="Y68" s="143">
        <f>SUM(Y33,Y35,Y41,Y45,Y52,Y54,Y57,Y60,Y63)</f>
        <v>194078.60000000003</v>
      </c>
    </row>
    <row r="69" spans="1:25" s="122" customFormat="1" ht="24">
      <c r="A69" s="145" t="s">
        <v>90</v>
      </c>
      <c r="B69" s="97">
        <v>1230</v>
      </c>
      <c r="C69" s="125">
        <v>0</v>
      </c>
      <c r="D69" s="125">
        <v>0</v>
      </c>
      <c r="E69" s="133">
        <v>0</v>
      </c>
      <c r="F69" s="127">
        <v>0</v>
      </c>
      <c r="G69" s="127">
        <v>0</v>
      </c>
      <c r="H69" s="144">
        <v>0</v>
      </c>
      <c r="I69" s="127">
        <v>0</v>
      </c>
      <c r="J69" s="144">
        <v>0</v>
      </c>
      <c r="K69" s="127">
        <v>0</v>
      </c>
      <c r="L69" s="127"/>
      <c r="M69" s="127"/>
      <c r="N69" s="127"/>
      <c r="O69" s="129"/>
      <c r="P69" s="144">
        <v>0</v>
      </c>
      <c r="Q69" s="130">
        <f>G69-I69-K69-M69</f>
        <v>0</v>
      </c>
      <c r="R69" s="129">
        <f t="shared" si="0"/>
        <v>0</v>
      </c>
      <c r="S69" s="129">
        <v>0</v>
      </c>
      <c r="T69" s="131"/>
      <c r="U69" s="126">
        <v>0</v>
      </c>
      <c r="V69" s="126">
        <v>0</v>
      </c>
      <c r="W69" s="126"/>
      <c r="X69" s="127"/>
      <c r="Y69" s="127"/>
    </row>
    <row r="70" spans="1:25" s="122" customFormat="1" ht="24">
      <c r="A70" s="164" t="s">
        <v>91</v>
      </c>
      <c r="B70" s="97"/>
      <c r="C70" s="165"/>
      <c r="D70" s="166"/>
      <c r="E70" s="167"/>
      <c r="F70" s="168"/>
      <c r="G70" s="168"/>
      <c r="H70" s="168"/>
      <c r="I70" s="168"/>
      <c r="J70" s="169"/>
      <c r="K70" s="169"/>
      <c r="L70" s="169"/>
      <c r="M70" s="169"/>
      <c r="N70" s="169"/>
      <c r="O70" s="167"/>
      <c r="P70" s="168"/>
      <c r="Q70" s="170"/>
      <c r="R70" s="129"/>
      <c r="S70" s="129"/>
      <c r="T70" s="131"/>
      <c r="U70" s="169"/>
      <c r="V70" s="169"/>
      <c r="W70" s="169"/>
      <c r="X70" s="168"/>
      <c r="Y70" s="168"/>
    </row>
    <row r="71" spans="1:25" s="122" customFormat="1" ht="44.25">
      <c r="A71" s="160" t="s">
        <v>92</v>
      </c>
      <c r="B71" s="159">
        <v>1400</v>
      </c>
      <c r="C71" s="161">
        <v>9682.7</v>
      </c>
      <c r="D71" s="161">
        <v>32141.1</v>
      </c>
      <c r="E71" s="162">
        <v>42076.3</v>
      </c>
      <c r="F71" s="162">
        <f>F72+F73</f>
        <v>20871</v>
      </c>
      <c r="G71" s="162">
        <f>G72+G73</f>
        <v>27892.4</v>
      </c>
      <c r="H71" s="162">
        <f>H72+H73</f>
        <v>23604.4</v>
      </c>
      <c r="I71" s="162">
        <f>I72+I73</f>
        <v>16802.9</v>
      </c>
      <c r="J71" s="162">
        <f>J72+J73</f>
        <v>15431.8</v>
      </c>
      <c r="K71" s="162">
        <f>K72+K73</f>
        <v>0</v>
      </c>
      <c r="L71" s="162">
        <f>L72+L73</f>
        <v>16127.6</v>
      </c>
      <c r="M71" s="162">
        <f>M72+M73</f>
        <v>0</v>
      </c>
      <c r="N71" s="162">
        <f>N72+N73</f>
        <v>22684.6</v>
      </c>
      <c r="O71" s="162">
        <f>O72+O73</f>
        <v>0</v>
      </c>
      <c r="P71" s="162">
        <f>P72+P73</f>
        <v>39036.2</v>
      </c>
      <c r="Q71" s="162">
        <v>27892.4</v>
      </c>
      <c r="R71" s="141">
        <f aca="true" t="shared" si="14" ref="R71:R78">Q71-P71</f>
        <v>-11143.799999999996</v>
      </c>
      <c r="S71" s="141">
        <f aca="true" t="shared" si="15" ref="S71:S78">Q71/P71%</f>
        <v>71.45265164129707</v>
      </c>
      <c r="T71" s="131"/>
      <c r="U71" s="126">
        <v>12299.4</v>
      </c>
      <c r="V71" s="126">
        <v>8571.6</v>
      </c>
      <c r="W71" s="126">
        <v>8331.7</v>
      </c>
      <c r="X71" s="127">
        <v>12873.6</v>
      </c>
      <c r="Y71" s="132">
        <f aca="true" t="shared" si="16" ref="Y71:Y77">U71+V71+W71+X71</f>
        <v>42076.3</v>
      </c>
    </row>
    <row r="72" spans="1:25" s="122" customFormat="1" ht="45.75">
      <c r="A72" s="145" t="s">
        <v>93</v>
      </c>
      <c r="B72" s="171">
        <v>1401</v>
      </c>
      <c r="C72" s="125">
        <v>2438.5</v>
      </c>
      <c r="D72" s="125">
        <f>1668.1+4516.8</f>
        <v>6184.9</v>
      </c>
      <c r="E72" s="126">
        <v>8353.3</v>
      </c>
      <c r="F72" s="127">
        <f>3933+141.5+14.7</f>
        <v>4089.2</v>
      </c>
      <c r="G72" s="127">
        <f>2314.5+3248.7++18.4++157.8</f>
        <v>5739.4</v>
      </c>
      <c r="H72" s="144">
        <v>4160</v>
      </c>
      <c r="I72" s="127">
        <f>6188.3-3544.2</f>
        <v>2644.1000000000004</v>
      </c>
      <c r="J72" s="172">
        <v>4260</v>
      </c>
      <c r="K72" s="126"/>
      <c r="L72" s="126">
        <v>4400</v>
      </c>
      <c r="M72" s="126"/>
      <c r="N72" s="126">
        <v>4527.8</v>
      </c>
      <c r="O72" s="133"/>
      <c r="P72" s="128">
        <f>4260+4160</f>
        <v>8420</v>
      </c>
      <c r="Q72" s="130">
        <v>5739.4</v>
      </c>
      <c r="R72" s="129">
        <f t="shared" si="14"/>
        <v>-2680.6000000000004</v>
      </c>
      <c r="S72" s="129">
        <f t="shared" si="15"/>
        <v>68.16389548693586</v>
      </c>
      <c r="T72" s="131"/>
      <c r="U72" s="126">
        <v>1930.9</v>
      </c>
      <c r="V72" s="126">
        <v>2143.6</v>
      </c>
      <c r="W72" s="126">
        <v>2109.1</v>
      </c>
      <c r="X72" s="127">
        <v>2169.7</v>
      </c>
      <c r="Y72" s="132">
        <f t="shared" si="16"/>
        <v>8353.3</v>
      </c>
    </row>
    <row r="73" spans="1:25" s="122" customFormat="1" ht="44.25">
      <c r="A73" s="145" t="s">
        <v>94</v>
      </c>
      <c r="B73" s="171">
        <v>1402</v>
      </c>
      <c r="C73" s="125">
        <v>7139.8</v>
      </c>
      <c r="D73" s="125">
        <f>21673.3+3612</f>
        <v>25285.3</v>
      </c>
      <c r="E73" s="126">
        <v>33217.9</v>
      </c>
      <c r="F73" s="127">
        <v>16781.8</v>
      </c>
      <c r="G73" s="127">
        <f>15199.5++3.3+183.3+6766.9</f>
        <v>22153</v>
      </c>
      <c r="H73" s="144">
        <v>19444.4</v>
      </c>
      <c r="I73" s="127">
        <f>10548+66.6+3544.2</f>
        <v>14158.8</v>
      </c>
      <c r="J73" s="172">
        <v>11171.8</v>
      </c>
      <c r="K73" s="126"/>
      <c r="L73" s="126">
        <v>11727.6</v>
      </c>
      <c r="M73" s="126"/>
      <c r="N73" s="126">
        <v>18156.8</v>
      </c>
      <c r="O73" s="133"/>
      <c r="P73" s="128">
        <f>11171.8+19444.4</f>
        <v>30616.2</v>
      </c>
      <c r="Q73" s="130">
        <v>22153</v>
      </c>
      <c r="R73" s="129">
        <f t="shared" si="14"/>
        <v>-8463.2</v>
      </c>
      <c r="S73" s="129">
        <f t="shared" si="15"/>
        <v>72.35711812700465</v>
      </c>
      <c r="T73" s="131"/>
      <c r="U73" s="126">
        <v>10319.8</v>
      </c>
      <c r="V73" s="126">
        <v>6462</v>
      </c>
      <c r="W73" s="126">
        <v>6237.3</v>
      </c>
      <c r="X73" s="127">
        <v>10198.8</v>
      </c>
      <c r="Y73" s="132">
        <f t="shared" si="16"/>
        <v>33217.899999999994</v>
      </c>
    </row>
    <row r="74" spans="1:25" s="122" customFormat="1" ht="32.25" customHeight="1">
      <c r="A74" s="145" t="s">
        <v>95</v>
      </c>
      <c r="B74" s="171">
        <v>1410</v>
      </c>
      <c r="C74" s="125">
        <v>23582.9</v>
      </c>
      <c r="D74" s="125">
        <v>53538.9</v>
      </c>
      <c r="E74" s="126">
        <v>82206.1</v>
      </c>
      <c r="F74" s="127">
        <v>36317.9</v>
      </c>
      <c r="G74" s="127">
        <v>51086.2</v>
      </c>
      <c r="H74" s="144">
        <v>25388.6</v>
      </c>
      <c r="I74" s="127">
        <v>24662.4</v>
      </c>
      <c r="J74" s="173">
        <v>25998.8</v>
      </c>
      <c r="K74" s="126"/>
      <c r="L74" s="126">
        <v>26991.6</v>
      </c>
      <c r="M74" s="126"/>
      <c r="N74" s="126">
        <v>25335.1</v>
      </c>
      <c r="O74" s="133"/>
      <c r="P74" s="128">
        <f>25998.8+25388.6</f>
        <v>51387.399999999994</v>
      </c>
      <c r="Q74" s="130">
        <v>51086.2</v>
      </c>
      <c r="R74" s="129">
        <f t="shared" si="14"/>
        <v>-301.1999999999971</v>
      </c>
      <c r="S74" s="129">
        <f t="shared" si="15"/>
        <v>99.41386409898148</v>
      </c>
      <c r="T74" s="131"/>
      <c r="U74" s="126">
        <v>17507.2</v>
      </c>
      <c r="V74" s="126">
        <v>18810.7</v>
      </c>
      <c r="W74" s="126">
        <v>20773.9</v>
      </c>
      <c r="X74" s="127">
        <v>25114.3</v>
      </c>
      <c r="Y74" s="132">
        <f t="shared" si="16"/>
        <v>82206.1</v>
      </c>
    </row>
    <row r="75" spans="1:25" s="122" customFormat="1" ht="44.25">
      <c r="A75" s="145" t="s">
        <v>96</v>
      </c>
      <c r="B75" s="171">
        <v>1420</v>
      </c>
      <c r="C75" s="125">
        <v>5228.3</v>
      </c>
      <c r="D75" s="125">
        <v>12042</v>
      </c>
      <c r="E75" s="126">
        <v>18551.2</v>
      </c>
      <c r="F75" s="127">
        <v>8218.7</v>
      </c>
      <c r="G75" s="127">
        <v>11531.7</v>
      </c>
      <c r="H75" s="144">
        <v>5585.4</v>
      </c>
      <c r="I75" s="127">
        <v>5562.8</v>
      </c>
      <c r="J75" s="172">
        <v>5719.7</v>
      </c>
      <c r="K75" s="126"/>
      <c r="L75" s="126">
        <v>5938.2</v>
      </c>
      <c r="M75" s="126"/>
      <c r="N75" s="126">
        <v>5573.8</v>
      </c>
      <c r="O75" s="133"/>
      <c r="P75" s="128">
        <f>5719.7+5585.4</f>
        <v>11305.099999999999</v>
      </c>
      <c r="Q75" s="130">
        <v>11531.7</v>
      </c>
      <c r="R75" s="129">
        <f t="shared" si="14"/>
        <v>226.60000000000218</v>
      </c>
      <c r="S75" s="129">
        <f t="shared" si="15"/>
        <v>102.0044050915074</v>
      </c>
      <c r="T75" s="131"/>
      <c r="U75" s="126">
        <v>3975.4</v>
      </c>
      <c r="V75" s="126">
        <v>4243.3</v>
      </c>
      <c r="W75" s="126">
        <v>4663.5</v>
      </c>
      <c r="X75" s="127">
        <v>5669</v>
      </c>
      <c r="Y75" s="132">
        <f t="shared" si="16"/>
        <v>18551.2</v>
      </c>
    </row>
    <row r="76" spans="1:25" s="122" customFormat="1" ht="44.25">
      <c r="A76" s="145" t="s">
        <v>97</v>
      </c>
      <c r="B76" s="171">
        <v>1430</v>
      </c>
      <c r="C76" s="125">
        <v>3796.1</v>
      </c>
      <c r="D76" s="125">
        <v>10412.6</v>
      </c>
      <c r="E76" s="126">
        <v>19907.7</v>
      </c>
      <c r="F76" s="127">
        <v>9124.6</v>
      </c>
      <c r="G76" s="127">
        <v>11682.2</v>
      </c>
      <c r="H76" s="144">
        <v>5654.9</v>
      </c>
      <c r="I76" s="127">
        <v>5791.4</v>
      </c>
      <c r="J76" s="172">
        <v>5655</v>
      </c>
      <c r="K76" s="126"/>
      <c r="L76" s="126">
        <v>5655</v>
      </c>
      <c r="M76" s="126"/>
      <c r="N76" s="126">
        <v>5655</v>
      </c>
      <c r="O76" s="133"/>
      <c r="P76" s="128">
        <f>5655+5654.9</f>
        <v>11309.9</v>
      </c>
      <c r="Q76" s="130">
        <v>11682.2</v>
      </c>
      <c r="R76" s="129">
        <f t="shared" si="14"/>
        <v>372.3000000000011</v>
      </c>
      <c r="S76" s="129">
        <f t="shared" si="15"/>
        <v>103.2918062936012</v>
      </c>
      <c r="T76" s="131"/>
      <c r="U76" s="126">
        <v>4555</v>
      </c>
      <c r="V76" s="126">
        <v>4569.6</v>
      </c>
      <c r="W76" s="126">
        <v>4943.5</v>
      </c>
      <c r="X76" s="127">
        <v>5839.6</v>
      </c>
      <c r="Y76" s="132">
        <f t="shared" si="16"/>
        <v>19907.7</v>
      </c>
    </row>
    <row r="77" spans="1:25" s="122" customFormat="1" ht="44.25">
      <c r="A77" s="145" t="s">
        <v>98</v>
      </c>
      <c r="B77" s="171">
        <v>1440</v>
      </c>
      <c r="C77" s="125">
        <v>6946.3</v>
      </c>
      <c r="D77" s="125">
        <v>22164</v>
      </c>
      <c r="E77" s="126">
        <v>29436.7</v>
      </c>
      <c r="F77" s="127">
        <v>8349.5</v>
      </c>
      <c r="G77" s="127">
        <v>18651</v>
      </c>
      <c r="H77" s="144">
        <v>2454.5</v>
      </c>
      <c r="I77" s="127">
        <v>10942.2</v>
      </c>
      <c r="J77" s="172">
        <v>2454.4</v>
      </c>
      <c r="K77" s="126"/>
      <c r="L77" s="126">
        <v>2452.4</v>
      </c>
      <c r="M77" s="126"/>
      <c r="N77" s="126">
        <v>2459.1</v>
      </c>
      <c r="O77" s="133"/>
      <c r="P77" s="128">
        <f>2454.5+2454.5</f>
        <v>4909</v>
      </c>
      <c r="Q77" s="130">
        <v>18651</v>
      </c>
      <c r="R77" s="129">
        <f t="shared" si="14"/>
        <v>13742</v>
      </c>
      <c r="S77" s="129">
        <f t="shared" si="15"/>
        <v>379.93481360765935</v>
      </c>
      <c r="T77" s="131"/>
      <c r="U77" s="126">
        <v>3693.5</v>
      </c>
      <c r="V77" s="126">
        <v>4656</v>
      </c>
      <c r="W77" s="126">
        <v>13814.9</v>
      </c>
      <c r="X77" s="127">
        <v>7272.3</v>
      </c>
      <c r="Y77" s="132">
        <f t="shared" si="16"/>
        <v>29436.7</v>
      </c>
    </row>
    <row r="78" spans="1:25" s="122" customFormat="1" ht="44.25">
      <c r="A78" s="151" t="s">
        <v>99</v>
      </c>
      <c r="B78" s="159">
        <v>1450</v>
      </c>
      <c r="C78" s="137">
        <f>C71+C74+C75+C76+C77</f>
        <v>49236.30000000001</v>
      </c>
      <c r="D78" s="137">
        <f>D71+D74+D75+D76+D77</f>
        <v>130298.6</v>
      </c>
      <c r="E78" s="139">
        <f>E71+E74+E75+E76+E77</f>
        <v>192178.00000000003</v>
      </c>
      <c r="F78" s="139">
        <f>F71+F74+F75+F76+F77</f>
        <v>82881.70000000001</v>
      </c>
      <c r="G78" s="139">
        <f>G71+G74+G75+G76+G77</f>
        <v>120843.5</v>
      </c>
      <c r="H78" s="139">
        <f>H71+H74+H75+H76+H77</f>
        <v>62687.8</v>
      </c>
      <c r="I78" s="139">
        <f>I71+I74+I75+I76+I77</f>
        <v>63761.70000000001</v>
      </c>
      <c r="J78" s="139">
        <f>J71+J74+J75+J76+J77</f>
        <v>55259.7</v>
      </c>
      <c r="K78" s="139">
        <f>K71+K74+K75+K76+K77</f>
        <v>0</v>
      </c>
      <c r="L78" s="139">
        <f>L71+L74+L75+L76+L77</f>
        <v>57164.799999999996</v>
      </c>
      <c r="M78" s="139">
        <f>M71+M74+M75+M76+M77</f>
        <v>0</v>
      </c>
      <c r="N78" s="139">
        <f>N71+N74+N75+N76+N77</f>
        <v>61707.6</v>
      </c>
      <c r="O78" s="138">
        <f>O71+O74+O75+O76+O77</f>
        <v>0</v>
      </c>
      <c r="P78" s="139">
        <f>P71+P74+P75+P76+P77</f>
        <v>117947.59999999998</v>
      </c>
      <c r="Q78" s="140">
        <f>Q71+Q74+Q75+Q76+Q77</f>
        <v>120843.5</v>
      </c>
      <c r="R78" s="141">
        <f t="shared" si="14"/>
        <v>2895.9000000000233</v>
      </c>
      <c r="S78" s="141">
        <f t="shared" si="15"/>
        <v>102.45524283664952</v>
      </c>
      <c r="T78" s="131"/>
      <c r="U78" s="142">
        <f>U71+U74+U75+U76+U77</f>
        <v>42030.5</v>
      </c>
      <c r="V78" s="142">
        <f>V71+V74+V75+V76+V77</f>
        <v>40851.200000000004</v>
      </c>
      <c r="W78" s="142">
        <f>W71+W74+W75+W76+W77</f>
        <v>52527.50000000001</v>
      </c>
      <c r="X78" s="143">
        <f>X71+X74+X75+X76+X77</f>
        <v>56768.8</v>
      </c>
      <c r="Y78" s="143">
        <f>Y71+Y74+Y75+Y76+Y77</f>
        <v>192178.00000000003</v>
      </c>
    </row>
    <row r="79" spans="1:25" s="122" customFormat="1" ht="24" customHeight="1">
      <c r="A79" s="119" t="s">
        <v>100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31"/>
      <c r="U79" s="174"/>
      <c r="V79" s="174"/>
      <c r="W79" s="174"/>
      <c r="X79" s="175"/>
      <c r="Y79" s="175"/>
    </row>
    <row r="80" spans="1:25" s="122" customFormat="1" ht="24" customHeight="1">
      <c r="A80" s="176" t="s">
        <v>101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31"/>
      <c r="U80" s="177"/>
      <c r="V80" s="177"/>
      <c r="W80" s="177"/>
      <c r="X80" s="178"/>
      <c r="Y80" s="178"/>
    </row>
    <row r="81" spans="1:25" s="122" customFormat="1" ht="44.25">
      <c r="A81" s="179" t="s">
        <v>102</v>
      </c>
      <c r="B81" s="180">
        <v>2000</v>
      </c>
      <c r="C81" s="125">
        <v>0</v>
      </c>
      <c r="D81" s="125">
        <v>0</v>
      </c>
      <c r="E81" s="133">
        <v>0</v>
      </c>
      <c r="F81" s="127">
        <v>0</v>
      </c>
      <c r="G81" s="127">
        <v>0</v>
      </c>
      <c r="H81" s="127">
        <v>0</v>
      </c>
      <c r="I81" s="127">
        <v>0</v>
      </c>
      <c r="J81" s="126">
        <v>0</v>
      </c>
      <c r="K81" s="126">
        <v>0</v>
      </c>
      <c r="L81" s="126"/>
      <c r="M81" s="126"/>
      <c r="N81" s="126"/>
      <c r="O81" s="133"/>
      <c r="P81" s="127">
        <v>0</v>
      </c>
      <c r="Q81" s="130">
        <f aca="true" t="shared" si="17" ref="Q81:Q91">G81-I81-K81-M81</f>
        <v>0</v>
      </c>
      <c r="R81" s="129">
        <f aca="true" t="shared" si="18" ref="R81:R91">Q81-P81</f>
        <v>0</v>
      </c>
      <c r="S81" s="129">
        <v>0</v>
      </c>
      <c r="T81" s="131"/>
      <c r="U81" s="126">
        <v>0</v>
      </c>
      <c r="V81" s="126">
        <v>0</v>
      </c>
      <c r="W81" s="126"/>
      <c r="X81" s="127"/>
      <c r="Y81" s="127"/>
    </row>
    <row r="82" spans="1:25" s="122" customFormat="1" ht="44.25">
      <c r="A82" s="181" t="s">
        <v>103</v>
      </c>
      <c r="B82" s="97">
        <v>2010</v>
      </c>
      <c r="C82" s="125">
        <v>0</v>
      </c>
      <c r="D82" s="125">
        <v>0</v>
      </c>
      <c r="E82" s="133">
        <v>0</v>
      </c>
      <c r="F82" s="127">
        <v>0</v>
      </c>
      <c r="G82" s="127">
        <v>0</v>
      </c>
      <c r="H82" s="128">
        <v>0</v>
      </c>
      <c r="I82" s="127">
        <v>0</v>
      </c>
      <c r="J82" s="173">
        <v>0</v>
      </c>
      <c r="K82" s="126">
        <v>0</v>
      </c>
      <c r="L82" s="126"/>
      <c r="M82" s="126"/>
      <c r="N82" s="126"/>
      <c r="O82" s="133"/>
      <c r="P82" s="128">
        <v>0</v>
      </c>
      <c r="Q82" s="130">
        <f t="shared" si="17"/>
        <v>0</v>
      </c>
      <c r="R82" s="129">
        <f t="shared" si="18"/>
        <v>0</v>
      </c>
      <c r="S82" s="129">
        <v>0</v>
      </c>
      <c r="T82" s="131"/>
      <c r="U82" s="126">
        <v>0</v>
      </c>
      <c r="V82" s="126">
        <v>0</v>
      </c>
      <c r="W82" s="126"/>
      <c r="X82" s="127"/>
      <c r="Y82" s="127"/>
    </row>
    <row r="83" spans="1:25" s="122" customFormat="1" ht="44.25">
      <c r="A83" s="145" t="s">
        <v>104</v>
      </c>
      <c r="B83" s="97">
        <v>2011</v>
      </c>
      <c r="C83" s="125">
        <v>0</v>
      </c>
      <c r="D83" s="125">
        <v>0</v>
      </c>
      <c r="E83" s="133">
        <v>0</v>
      </c>
      <c r="F83" s="127">
        <v>0</v>
      </c>
      <c r="G83" s="127">
        <v>0</v>
      </c>
      <c r="H83" s="127">
        <v>0</v>
      </c>
      <c r="I83" s="127">
        <v>0</v>
      </c>
      <c r="J83" s="126">
        <v>0</v>
      </c>
      <c r="K83" s="126">
        <v>0</v>
      </c>
      <c r="L83" s="126"/>
      <c r="M83" s="126"/>
      <c r="N83" s="126"/>
      <c r="O83" s="133"/>
      <c r="P83" s="127">
        <v>0</v>
      </c>
      <c r="Q83" s="130">
        <f t="shared" si="17"/>
        <v>0</v>
      </c>
      <c r="R83" s="129">
        <f t="shared" si="18"/>
        <v>0</v>
      </c>
      <c r="S83" s="129">
        <v>0</v>
      </c>
      <c r="T83" s="131"/>
      <c r="U83" s="126">
        <v>0</v>
      </c>
      <c r="V83" s="126">
        <v>0</v>
      </c>
      <c r="W83" s="126"/>
      <c r="X83" s="127"/>
      <c r="Y83" s="127"/>
    </row>
    <row r="84" spans="1:25" s="122" customFormat="1" ht="65.25">
      <c r="A84" s="145" t="s">
        <v>105</v>
      </c>
      <c r="B84" s="97">
        <v>2012</v>
      </c>
      <c r="C84" s="125">
        <v>0</v>
      </c>
      <c r="D84" s="125">
        <v>0</v>
      </c>
      <c r="E84" s="133">
        <v>0</v>
      </c>
      <c r="F84" s="127">
        <v>0</v>
      </c>
      <c r="G84" s="127">
        <v>0</v>
      </c>
      <c r="H84" s="127">
        <v>0</v>
      </c>
      <c r="I84" s="127">
        <v>0</v>
      </c>
      <c r="J84" s="126">
        <v>0</v>
      </c>
      <c r="K84" s="126">
        <v>0</v>
      </c>
      <c r="L84" s="126"/>
      <c r="M84" s="126"/>
      <c r="N84" s="126"/>
      <c r="O84" s="133"/>
      <c r="P84" s="127">
        <v>0</v>
      </c>
      <c r="Q84" s="130">
        <f t="shared" si="17"/>
        <v>0</v>
      </c>
      <c r="R84" s="129">
        <f t="shared" si="18"/>
        <v>0</v>
      </c>
      <c r="S84" s="129">
        <v>0</v>
      </c>
      <c r="T84" s="131"/>
      <c r="U84" s="126">
        <v>0</v>
      </c>
      <c r="V84" s="126">
        <v>0</v>
      </c>
      <c r="W84" s="126"/>
      <c r="X84" s="127"/>
      <c r="Y84" s="127"/>
    </row>
    <row r="85" spans="1:25" s="122" customFormat="1" ht="24">
      <c r="A85" s="145" t="s">
        <v>106</v>
      </c>
      <c r="B85" s="97" t="s">
        <v>107</v>
      </c>
      <c r="C85" s="125">
        <v>0</v>
      </c>
      <c r="D85" s="125">
        <v>0</v>
      </c>
      <c r="E85" s="133">
        <v>0</v>
      </c>
      <c r="F85" s="127">
        <v>0</v>
      </c>
      <c r="G85" s="127">
        <v>0</v>
      </c>
      <c r="H85" s="127">
        <v>0</v>
      </c>
      <c r="I85" s="127">
        <v>0</v>
      </c>
      <c r="J85" s="126">
        <v>0</v>
      </c>
      <c r="K85" s="126">
        <v>0</v>
      </c>
      <c r="L85" s="126"/>
      <c r="M85" s="126"/>
      <c r="N85" s="126"/>
      <c r="O85" s="133"/>
      <c r="P85" s="127">
        <v>0</v>
      </c>
      <c r="Q85" s="130">
        <f t="shared" si="17"/>
        <v>0</v>
      </c>
      <c r="R85" s="129">
        <f t="shared" si="18"/>
        <v>0</v>
      </c>
      <c r="S85" s="129">
        <v>0</v>
      </c>
      <c r="T85" s="131"/>
      <c r="U85" s="126">
        <v>0</v>
      </c>
      <c r="V85" s="126">
        <v>0</v>
      </c>
      <c r="W85" s="126"/>
      <c r="X85" s="127"/>
      <c r="Y85" s="127"/>
    </row>
    <row r="86" spans="1:25" s="122" customFormat="1" ht="24">
      <c r="A86" s="145" t="s">
        <v>108</v>
      </c>
      <c r="B86" s="97">
        <v>2020</v>
      </c>
      <c r="C86" s="125">
        <v>0</v>
      </c>
      <c r="D86" s="125">
        <v>0</v>
      </c>
      <c r="E86" s="133">
        <v>0</v>
      </c>
      <c r="F86" s="127">
        <v>0</v>
      </c>
      <c r="G86" s="127">
        <v>0</v>
      </c>
      <c r="H86" s="127">
        <v>0</v>
      </c>
      <c r="I86" s="127">
        <v>0</v>
      </c>
      <c r="J86" s="126">
        <v>0</v>
      </c>
      <c r="K86" s="126">
        <v>0</v>
      </c>
      <c r="L86" s="126"/>
      <c r="M86" s="126"/>
      <c r="N86" s="126"/>
      <c r="O86" s="133"/>
      <c r="P86" s="127">
        <v>0</v>
      </c>
      <c r="Q86" s="130">
        <f t="shared" si="17"/>
        <v>0</v>
      </c>
      <c r="R86" s="129">
        <f t="shared" si="18"/>
        <v>0</v>
      </c>
      <c r="S86" s="129">
        <v>0</v>
      </c>
      <c r="T86" s="131"/>
      <c r="U86" s="126">
        <v>0</v>
      </c>
      <c r="V86" s="126">
        <v>0</v>
      </c>
      <c r="W86" s="126"/>
      <c r="X86" s="127"/>
      <c r="Y86" s="127"/>
    </row>
    <row r="87" spans="1:25" s="122" customFormat="1" ht="24">
      <c r="A87" s="181" t="s">
        <v>109</v>
      </c>
      <c r="B87" s="97">
        <v>2030</v>
      </c>
      <c r="C87" s="125">
        <v>0</v>
      </c>
      <c r="D87" s="125">
        <v>0</v>
      </c>
      <c r="E87" s="133">
        <v>0</v>
      </c>
      <c r="F87" s="127">
        <v>0</v>
      </c>
      <c r="G87" s="127">
        <v>0</v>
      </c>
      <c r="H87" s="127">
        <v>0</v>
      </c>
      <c r="I87" s="127">
        <v>0</v>
      </c>
      <c r="J87" s="126">
        <v>0</v>
      </c>
      <c r="K87" s="126">
        <v>0</v>
      </c>
      <c r="L87" s="126"/>
      <c r="M87" s="126"/>
      <c r="N87" s="126"/>
      <c r="O87" s="133"/>
      <c r="P87" s="127">
        <v>0</v>
      </c>
      <c r="Q87" s="130">
        <f t="shared" si="17"/>
        <v>0</v>
      </c>
      <c r="R87" s="129">
        <f t="shared" si="18"/>
        <v>0</v>
      </c>
      <c r="S87" s="129">
        <v>0</v>
      </c>
      <c r="T87" s="131"/>
      <c r="U87" s="126">
        <v>0</v>
      </c>
      <c r="V87" s="126">
        <v>0</v>
      </c>
      <c r="W87" s="126"/>
      <c r="X87" s="127"/>
      <c r="Y87" s="127"/>
    </row>
    <row r="88" spans="1:25" s="122" customFormat="1" ht="24">
      <c r="A88" s="181" t="s">
        <v>110</v>
      </c>
      <c r="B88" s="97">
        <v>2040</v>
      </c>
      <c r="C88" s="125">
        <v>0</v>
      </c>
      <c r="D88" s="125">
        <v>0</v>
      </c>
      <c r="E88" s="133">
        <v>0</v>
      </c>
      <c r="F88" s="127">
        <v>0</v>
      </c>
      <c r="G88" s="127">
        <v>0</v>
      </c>
      <c r="H88" s="127">
        <v>0</v>
      </c>
      <c r="I88" s="127">
        <v>0</v>
      </c>
      <c r="J88" s="126">
        <v>0</v>
      </c>
      <c r="K88" s="126">
        <v>0</v>
      </c>
      <c r="L88" s="126"/>
      <c r="M88" s="126"/>
      <c r="N88" s="126"/>
      <c r="O88" s="133"/>
      <c r="P88" s="127">
        <v>0</v>
      </c>
      <c r="Q88" s="130">
        <f t="shared" si="17"/>
        <v>0</v>
      </c>
      <c r="R88" s="129">
        <f t="shared" si="18"/>
        <v>0</v>
      </c>
      <c r="S88" s="129">
        <v>0</v>
      </c>
      <c r="T88" s="131"/>
      <c r="U88" s="126">
        <v>0</v>
      </c>
      <c r="V88" s="126">
        <v>0</v>
      </c>
      <c r="W88" s="126"/>
      <c r="X88" s="127"/>
      <c r="Y88" s="127"/>
    </row>
    <row r="89" spans="1:25" s="122" customFormat="1" ht="24">
      <c r="A89" s="181" t="s">
        <v>111</v>
      </c>
      <c r="B89" s="97">
        <v>2050</v>
      </c>
      <c r="C89" s="125">
        <v>0</v>
      </c>
      <c r="D89" s="125">
        <v>0</v>
      </c>
      <c r="E89" s="133">
        <v>0</v>
      </c>
      <c r="F89" s="127">
        <v>0</v>
      </c>
      <c r="G89" s="127">
        <v>0</v>
      </c>
      <c r="H89" s="127">
        <v>0</v>
      </c>
      <c r="I89" s="127">
        <v>0</v>
      </c>
      <c r="J89" s="126">
        <v>0</v>
      </c>
      <c r="K89" s="126">
        <v>0</v>
      </c>
      <c r="L89" s="126"/>
      <c r="M89" s="126"/>
      <c r="N89" s="126"/>
      <c r="O89" s="133"/>
      <c r="P89" s="127">
        <v>0</v>
      </c>
      <c r="Q89" s="130">
        <f t="shared" si="17"/>
        <v>0</v>
      </c>
      <c r="R89" s="129">
        <f t="shared" si="18"/>
        <v>0</v>
      </c>
      <c r="S89" s="129">
        <v>0</v>
      </c>
      <c r="T89" s="131"/>
      <c r="U89" s="126">
        <v>0</v>
      </c>
      <c r="V89" s="126">
        <v>0</v>
      </c>
      <c r="W89" s="126"/>
      <c r="X89" s="127"/>
      <c r="Y89" s="127"/>
    </row>
    <row r="90" spans="1:25" s="122" customFormat="1" ht="24">
      <c r="A90" s="181" t="s">
        <v>112</v>
      </c>
      <c r="B90" s="97">
        <v>2060</v>
      </c>
      <c r="C90" s="125">
        <v>0</v>
      </c>
      <c r="D90" s="125">
        <v>0</v>
      </c>
      <c r="E90" s="133">
        <v>0</v>
      </c>
      <c r="F90" s="127">
        <v>0</v>
      </c>
      <c r="G90" s="127">
        <v>0</v>
      </c>
      <c r="H90" s="127">
        <v>0</v>
      </c>
      <c r="I90" s="127">
        <v>0</v>
      </c>
      <c r="J90" s="126">
        <v>0</v>
      </c>
      <c r="K90" s="126">
        <v>0</v>
      </c>
      <c r="L90" s="126"/>
      <c r="M90" s="126"/>
      <c r="N90" s="126"/>
      <c r="O90" s="133"/>
      <c r="P90" s="127">
        <v>0</v>
      </c>
      <c r="Q90" s="130">
        <f t="shared" si="17"/>
        <v>0</v>
      </c>
      <c r="R90" s="129">
        <f t="shared" si="18"/>
        <v>0</v>
      </c>
      <c r="S90" s="129">
        <v>0</v>
      </c>
      <c r="T90" s="131"/>
      <c r="U90" s="126">
        <v>0</v>
      </c>
      <c r="V90" s="126">
        <v>0</v>
      </c>
      <c r="W90" s="126"/>
      <c r="X90" s="127"/>
      <c r="Y90" s="127"/>
    </row>
    <row r="91" spans="1:25" s="122" customFormat="1" ht="44.25">
      <c r="A91" s="181" t="s">
        <v>113</v>
      </c>
      <c r="B91" s="97">
        <v>2070</v>
      </c>
      <c r="C91" s="182">
        <v>0</v>
      </c>
      <c r="D91" s="182">
        <v>0</v>
      </c>
      <c r="E91" s="183">
        <v>0</v>
      </c>
      <c r="F91" s="155">
        <v>0</v>
      </c>
      <c r="G91" s="155">
        <v>0</v>
      </c>
      <c r="H91" s="155">
        <v>0</v>
      </c>
      <c r="I91" s="155">
        <v>0</v>
      </c>
      <c r="J91" s="184">
        <v>0</v>
      </c>
      <c r="K91" s="184">
        <v>0</v>
      </c>
      <c r="L91" s="184"/>
      <c r="M91" s="184"/>
      <c r="N91" s="184"/>
      <c r="O91" s="183"/>
      <c r="P91" s="155">
        <v>0</v>
      </c>
      <c r="Q91" s="130">
        <f t="shared" si="17"/>
        <v>0</v>
      </c>
      <c r="R91" s="129">
        <f t="shared" si="18"/>
        <v>0</v>
      </c>
      <c r="S91" s="129">
        <v>0</v>
      </c>
      <c r="T91" s="131"/>
      <c r="U91" s="184">
        <v>0</v>
      </c>
      <c r="V91" s="184">
        <v>0</v>
      </c>
      <c r="W91" s="184"/>
      <c r="X91" s="155"/>
      <c r="Y91" s="155"/>
    </row>
    <row r="92" spans="1:25" s="122" customFormat="1" ht="48.75" customHeight="1">
      <c r="A92" s="164" t="s">
        <v>114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31"/>
      <c r="U92" s="185"/>
      <c r="V92" s="185"/>
      <c r="W92" s="185"/>
      <c r="X92" s="186"/>
      <c r="Y92" s="186"/>
    </row>
    <row r="93" spans="1:25" s="122" customFormat="1" ht="45.75">
      <c r="A93" s="187" t="s">
        <v>115</v>
      </c>
      <c r="B93" s="97">
        <v>2110</v>
      </c>
      <c r="C93" s="153">
        <v>800.4</v>
      </c>
      <c r="D93" s="153">
        <v>1157.5</v>
      </c>
      <c r="E93" s="142">
        <v>1510.9</v>
      </c>
      <c r="F93" s="143">
        <v>698.4</v>
      </c>
      <c r="G93" s="143">
        <v>933.3</v>
      </c>
      <c r="H93" s="188">
        <v>375.2</v>
      </c>
      <c r="I93" s="143">
        <v>433.3</v>
      </c>
      <c r="J93" s="189">
        <v>384.2</v>
      </c>
      <c r="K93" s="142"/>
      <c r="L93" s="142">
        <v>398.9</v>
      </c>
      <c r="M93" s="142"/>
      <c r="N93" s="142">
        <v>374.4</v>
      </c>
      <c r="O93" s="154"/>
      <c r="P93" s="188">
        <f>375.2+384.2</f>
        <v>759.4</v>
      </c>
      <c r="Q93" s="130">
        <v>933.3</v>
      </c>
      <c r="R93" s="129">
        <f aca="true" t="shared" si="19" ref="R93:R105">Q93-P93</f>
        <v>173.89999999999998</v>
      </c>
      <c r="S93" s="129">
        <f>Q93/P93%</f>
        <v>122.89965762444035</v>
      </c>
      <c r="T93" s="190" t="s">
        <v>116</v>
      </c>
      <c r="U93" s="142">
        <v>329.5</v>
      </c>
      <c r="V93" s="142">
        <v>368.9</v>
      </c>
      <c r="W93" s="142">
        <v>353.7</v>
      </c>
      <c r="X93" s="143">
        <v>458.8</v>
      </c>
      <c r="Y93" s="132">
        <f aca="true" t="shared" si="20" ref="Y93:Y101">U93+V93+W93+X93</f>
        <v>1510.8999999999999</v>
      </c>
    </row>
    <row r="94" spans="1:25" s="122" customFormat="1" ht="24">
      <c r="A94" s="145" t="s">
        <v>117</v>
      </c>
      <c r="B94" s="97">
        <v>2111</v>
      </c>
      <c r="C94" s="182">
        <v>281.7</v>
      </c>
      <c r="D94" s="182">
        <v>0</v>
      </c>
      <c r="E94" s="183">
        <v>0</v>
      </c>
      <c r="F94" s="155">
        <v>0</v>
      </c>
      <c r="G94" s="155">
        <v>0</v>
      </c>
      <c r="H94" s="144">
        <v>0</v>
      </c>
      <c r="I94" s="155">
        <v>0</v>
      </c>
      <c r="J94" s="172">
        <v>0</v>
      </c>
      <c r="K94" s="184"/>
      <c r="L94" s="184"/>
      <c r="M94" s="184"/>
      <c r="N94" s="184"/>
      <c r="O94" s="183"/>
      <c r="P94" s="144">
        <v>0</v>
      </c>
      <c r="Q94" s="130">
        <f>G94-I94-K94-M94</f>
        <v>0</v>
      </c>
      <c r="R94" s="129">
        <f t="shared" si="19"/>
        <v>0</v>
      </c>
      <c r="S94" s="129">
        <v>0</v>
      </c>
      <c r="T94" s="131"/>
      <c r="U94" s="184">
        <v>0</v>
      </c>
      <c r="V94" s="184">
        <v>0</v>
      </c>
      <c r="W94" s="184"/>
      <c r="X94" s="155"/>
      <c r="Y94" s="132">
        <f t="shared" si="20"/>
        <v>0</v>
      </c>
    </row>
    <row r="95" spans="1:25" s="122" customFormat="1" ht="24">
      <c r="A95" s="191" t="s">
        <v>118</v>
      </c>
      <c r="B95" s="45">
        <v>2112</v>
      </c>
      <c r="C95" s="182">
        <v>162.8</v>
      </c>
      <c r="D95" s="182">
        <v>342.4</v>
      </c>
      <c r="E95" s="184">
        <v>252.9</v>
      </c>
      <c r="F95" s="155">
        <v>129.4</v>
      </c>
      <c r="G95" s="155">
        <v>126.6</v>
      </c>
      <c r="H95" s="128">
        <v>0</v>
      </c>
      <c r="I95" s="155">
        <v>56.5</v>
      </c>
      <c r="J95" s="173">
        <v>0</v>
      </c>
      <c r="K95" s="184"/>
      <c r="L95" s="184"/>
      <c r="M95" s="184"/>
      <c r="N95" s="184"/>
      <c r="O95" s="183"/>
      <c r="P95" s="128">
        <v>0</v>
      </c>
      <c r="Q95" s="130">
        <v>126.6</v>
      </c>
      <c r="R95" s="129">
        <f t="shared" si="19"/>
        <v>126.6</v>
      </c>
      <c r="S95" s="129">
        <v>0</v>
      </c>
      <c r="T95" s="190" t="s">
        <v>116</v>
      </c>
      <c r="U95" s="184">
        <v>57.5</v>
      </c>
      <c r="V95" s="184">
        <v>71.9</v>
      </c>
      <c r="W95" s="184">
        <v>57.3</v>
      </c>
      <c r="X95" s="155">
        <v>66.2</v>
      </c>
      <c r="Y95" s="132">
        <f t="shared" si="20"/>
        <v>252.89999999999998</v>
      </c>
    </row>
    <row r="96" spans="1:25" s="122" customFormat="1" ht="44.25">
      <c r="A96" s="192" t="s">
        <v>119</v>
      </c>
      <c r="B96" s="99">
        <v>2113</v>
      </c>
      <c r="C96" s="182">
        <v>0</v>
      </c>
      <c r="D96" s="182">
        <v>0</v>
      </c>
      <c r="E96" s="183">
        <v>0</v>
      </c>
      <c r="F96" s="155">
        <v>0</v>
      </c>
      <c r="G96" s="155">
        <v>0</v>
      </c>
      <c r="H96" s="128">
        <v>0</v>
      </c>
      <c r="I96" s="155">
        <v>0</v>
      </c>
      <c r="J96" s="173">
        <v>0</v>
      </c>
      <c r="K96" s="184"/>
      <c r="L96" s="184"/>
      <c r="M96" s="184"/>
      <c r="N96" s="184"/>
      <c r="O96" s="183"/>
      <c r="P96" s="128">
        <v>0</v>
      </c>
      <c r="Q96" s="130">
        <f aca="true" t="shared" si="21" ref="Q96:Q100">G96-I96-K96-M96</f>
        <v>0</v>
      </c>
      <c r="R96" s="129">
        <f t="shared" si="19"/>
        <v>0</v>
      </c>
      <c r="S96" s="129">
        <v>0</v>
      </c>
      <c r="T96" s="131"/>
      <c r="U96" s="184">
        <v>0</v>
      </c>
      <c r="V96" s="184">
        <v>0</v>
      </c>
      <c r="W96" s="184"/>
      <c r="X96" s="155"/>
      <c r="Y96" s="132">
        <f t="shared" si="20"/>
        <v>0</v>
      </c>
    </row>
    <row r="97" spans="1:25" s="122" customFormat="1" ht="24">
      <c r="A97" s="181" t="s">
        <v>120</v>
      </c>
      <c r="B97" s="98">
        <v>2114</v>
      </c>
      <c r="C97" s="182">
        <v>0</v>
      </c>
      <c r="D97" s="182">
        <v>0</v>
      </c>
      <c r="E97" s="183">
        <v>0</v>
      </c>
      <c r="F97" s="155">
        <v>0</v>
      </c>
      <c r="G97" s="155">
        <v>0</v>
      </c>
      <c r="H97" s="144">
        <v>0</v>
      </c>
      <c r="I97" s="155">
        <v>0</v>
      </c>
      <c r="J97" s="172">
        <v>0</v>
      </c>
      <c r="K97" s="184"/>
      <c r="L97" s="184"/>
      <c r="M97" s="184"/>
      <c r="N97" s="184"/>
      <c r="O97" s="183"/>
      <c r="P97" s="144">
        <v>0</v>
      </c>
      <c r="Q97" s="130">
        <f t="shared" si="21"/>
        <v>0</v>
      </c>
      <c r="R97" s="129">
        <f t="shared" si="19"/>
        <v>0</v>
      </c>
      <c r="S97" s="129">
        <v>0</v>
      </c>
      <c r="T97" s="131"/>
      <c r="U97" s="184">
        <v>0</v>
      </c>
      <c r="V97" s="184">
        <v>0</v>
      </c>
      <c r="W97" s="184"/>
      <c r="X97" s="155"/>
      <c r="Y97" s="132">
        <f t="shared" si="20"/>
        <v>0</v>
      </c>
    </row>
    <row r="98" spans="1:25" s="122" customFormat="1" ht="69.75" customHeight="1">
      <c r="A98" s="181" t="s">
        <v>121</v>
      </c>
      <c r="B98" s="98">
        <v>2115</v>
      </c>
      <c r="C98" s="182">
        <v>0</v>
      </c>
      <c r="D98" s="182">
        <v>0</v>
      </c>
      <c r="E98" s="183">
        <v>0</v>
      </c>
      <c r="F98" s="155">
        <v>0</v>
      </c>
      <c r="G98" s="155">
        <v>0</v>
      </c>
      <c r="H98" s="128">
        <v>0</v>
      </c>
      <c r="I98" s="155">
        <v>0</v>
      </c>
      <c r="J98" s="173">
        <v>0</v>
      </c>
      <c r="K98" s="184"/>
      <c r="L98" s="184"/>
      <c r="M98" s="184"/>
      <c r="N98" s="184"/>
      <c r="O98" s="183"/>
      <c r="P98" s="128">
        <v>0</v>
      </c>
      <c r="Q98" s="130">
        <f t="shared" si="21"/>
        <v>0</v>
      </c>
      <c r="R98" s="129">
        <f t="shared" si="19"/>
        <v>0</v>
      </c>
      <c r="S98" s="129">
        <v>0</v>
      </c>
      <c r="T98" s="131"/>
      <c r="U98" s="184">
        <v>0</v>
      </c>
      <c r="V98" s="184">
        <v>0</v>
      </c>
      <c r="W98" s="184"/>
      <c r="X98" s="155"/>
      <c r="Y98" s="132">
        <f t="shared" si="20"/>
        <v>0</v>
      </c>
    </row>
    <row r="99" spans="1:25" s="122" customFormat="1" ht="28.5" customHeight="1">
      <c r="A99" s="181" t="s">
        <v>122</v>
      </c>
      <c r="B99" s="98">
        <v>2116</v>
      </c>
      <c r="C99" s="182">
        <v>0</v>
      </c>
      <c r="D99" s="182">
        <v>0</v>
      </c>
      <c r="E99" s="183">
        <v>0</v>
      </c>
      <c r="F99" s="155">
        <v>0</v>
      </c>
      <c r="G99" s="155">
        <v>0</v>
      </c>
      <c r="H99" s="128">
        <v>0</v>
      </c>
      <c r="I99" s="155">
        <v>0</v>
      </c>
      <c r="J99" s="173">
        <v>0</v>
      </c>
      <c r="K99" s="184"/>
      <c r="L99" s="184"/>
      <c r="M99" s="184"/>
      <c r="N99" s="184"/>
      <c r="O99" s="183"/>
      <c r="P99" s="128">
        <v>0</v>
      </c>
      <c r="Q99" s="130">
        <f t="shared" si="21"/>
        <v>0</v>
      </c>
      <c r="R99" s="129">
        <f t="shared" si="19"/>
        <v>0</v>
      </c>
      <c r="S99" s="129">
        <v>0</v>
      </c>
      <c r="T99" s="131"/>
      <c r="U99" s="184">
        <v>0</v>
      </c>
      <c r="V99" s="184">
        <v>0</v>
      </c>
      <c r="W99" s="184"/>
      <c r="X99" s="155"/>
      <c r="Y99" s="132">
        <f t="shared" si="20"/>
        <v>0</v>
      </c>
    </row>
    <row r="100" spans="1:25" s="122" customFormat="1" ht="24">
      <c r="A100" s="192" t="s">
        <v>123</v>
      </c>
      <c r="B100" s="98">
        <v>2117</v>
      </c>
      <c r="C100" s="182">
        <v>0</v>
      </c>
      <c r="D100" s="182">
        <v>0</v>
      </c>
      <c r="E100" s="183">
        <v>0</v>
      </c>
      <c r="F100" s="155">
        <v>0</v>
      </c>
      <c r="G100" s="155">
        <v>0</v>
      </c>
      <c r="H100" s="128">
        <v>0</v>
      </c>
      <c r="I100" s="155">
        <v>0</v>
      </c>
      <c r="J100" s="173">
        <v>0</v>
      </c>
      <c r="K100" s="184"/>
      <c r="L100" s="184"/>
      <c r="M100" s="184"/>
      <c r="N100" s="184"/>
      <c r="O100" s="183"/>
      <c r="P100" s="128">
        <v>0</v>
      </c>
      <c r="Q100" s="130">
        <f t="shared" si="21"/>
        <v>0</v>
      </c>
      <c r="R100" s="129">
        <f t="shared" si="19"/>
        <v>0</v>
      </c>
      <c r="S100" s="129">
        <v>0</v>
      </c>
      <c r="T100" s="131"/>
      <c r="U100" s="184">
        <v>0</v>
      </c>
      <c r="V100" s="184">
        <v>0</v>
      </c>
      <c r="W100" s="184"/>
      <c r="X100" s="155"/>
      <c r="Y100" s="132">
        <f t="shared" si="20"/>
        <v>0</v>
      </c>
    </row>
    <row r="101" spans="1:25" s="122" customFormat="1" ht="44.25">
      <c r="A101" s="193" t="s">
        <v>124</v>
      </c>
      <c r="B101" s="194">
        <v>2120</v>
      </c>
      <c r="C101" s="195">
        <v>4193.6</v>
      </c>
      <c r="D101" s="195">
        <v>10071.5</v>
      </c>
      <c r="E101" s="196">
        <v>15210.9</v>
      </c>
      <c r="F101" s="197">
        <v>6754.9</v>
      </c>
      <c r="G101" s="197">
        <v>9505.2</v>
      </c>
      <c r="H101" s="188">
        <v>3878.6</v>
      </c>
      <c r="I101" s="197">
        <v>4482.6</v>
      </c>
      <c r="J101" s="189">
        <v>3971.7</v>
      </c>
      <c r="K101" s="196"/>
      <c r="L101" s="196">
        <v>4123.2</v>
      </c>
      <c r="M101" s="196"/>
      <c r="N101" s="196">
        <v>3870.7</v>
      </c>
      <c r="O101" s="198"/>
      <c r="P101" s="188">
        <v>7850.3</v>
      </c>
      <c r="Q101" s="130">
        <v>9505.2</v>
      </c>
      <c r="R101" s="129">
        <f t="shared" si="19"/>
        <v>1654.9000000000005</v>
      </c>
      <c r="S101" s="129">
        <f aca="true" t="shared" si="22" ref="S101:S102">Q101/P101%</f>
        <v>121.08072302969315</v>
      </c>
      <c r="T101" s="190" t="s">
        <v>116</v>
      </c>
      <c r="U101" s="196">
        <v>3161.2</v>
      </c>
      <c r="V101" s="196">
        <v>3593.7</v>
      </c>
      <c r="W101" s="196">
        <v>3738.7</v>
      </c>
      <c r="X101" s="197">
        <v>4717.3</v>
      </c>
      <c r="Y101" s="132">
        <f t="shared" si="20"/>
        <v>15210.899999999998</v>
      </c>
    </row>
    <row r="102" spans="1:25" s="122" customFormat="1" ht="44.25">
      <c r="A102" s="199" t="s">
        <v>125</v>
      </c>
      <c r="B102" s="200">
        <v>2130</v>
      </c>
      <c r="C102" s="201">
        <v>4980.6</v>
      </c>
      <c r="D102" s="201">
        <f>D93+D103+D104</f>
        <v>13320.7</v>
      </c>
      <c r="E102" s="202">
        <f>E93+E103+E104</f>
        <v>19852.300000000003</v>
      </c>
      <c r="F102" s="203">
        <f>F103+F104</f>
        <v>8016.6</v>
      </c>
      <c r="G102" s="203">
        <f>G93+G103+G104</f>
        <v>12353.699999999999</v>
      </c>
      <c r="H102" s="203">
        <f>H93+H103+H104</f>
        <v>5960.599999999999</v>
      </c>
      <c r="I102" s="203">
        <f>I93+I103+I104</f>
        <v>5969.6</v>
      </c>
      <c r="J102" s="203">
        <f>J93+J103+J104</f>
        <v>6103.9</v>
      </c>
      <c r="K102" s="203">
        <f>K93+K103+K104</f>
        <v>0</v>
      </c>
      <c r="L102" s="203">
        <f>L93+L103+L104</f>
        <v>6337.099999999999</v>
      </c>
      <c r="M102" s="203">
        <f>M93+M103+M104</f>
        <v>0</v>
      </c>
      <c r="N102" s="203">
        <f>N93+N103+N104</f>
        <v>5948.2</v>
      </c>
      <c r="O102" s="203">
        <f>O93+O103+O104</f>
        <v>0</v>
      </c>
      <c r="P102" s="203">
        <f>P93+P103+P104</f>
        <v>12064.499999999998</v>
      </c>
      <c r="Q102" s="203">
        <f>Q93+Q103+Q104</f>
        <v>12353.699999999999</v>
      </c>
      <c r="R102" s="141">
        <f t="shared" si="19"/>
        <v>289.2000000000007</v>
      </c>
      <c r="S102" s="141">
        <f t="shared" si="22"/>
        <v>102.39711550416511</v>
      </c>
      <c r="T102" s="131"/>
      <c r="U102" s="196">
        <f>U103+U104</f>
        <v>3975.4</v>
      </c>
      <c r="V102" s="196">
        <f>V103+V104</f>
        <v>4041.2</v>
      </c>
      <c r="W102" s="196">
        <f>W103+W104</f>
        <v>4620.3</v>
      </c>
      <c r="X102" s="197">
        <f>X93+X103+X104</f>
        <v>6163.3</v>
      </c>
      <c r="Y102" s="197">
        <f>Y93+Y103+Y104</f>
        <v>19852.300000000003</v>
      </c>
    </row>
    <row r="103" spans="1:25" s="122" customFormat="1" ht="86.25">
      <c r="A103" s="204" t="s">
        <v>126</v>
      </c>
      <c r="B103" s="98">
        <v>2131</v>
      </c>
      <c r="C103" s="125">
        <v>0</v>
      </c>
      <c r="D103" s="125">
        <v>0</v>
      </c>
      <c r="E103" s="133">
        <v>0</v>
      </c>
      <c r="F103" s="127">
        <v>0</v>
      </c>
      <c r="G103" s="127">
        <v>0</v>
      </c>
      <c r="H103" s="128">
        <v>0</v>
      </c>
      <c r="I103" s="127">
        <v>0</v>
      </c>
      <c r="J103" s="173"/>
      <c r="K103" s="126"/>
      <c r="L103" s="126"/>
      <c r="M103" s="126"/>
      <c r="N103" s="126"/>
      <c r="O103" s="133"/>
      <c r="P103" s="128">
        <v>0</v>
      </c>
      <c r="Q103" s="130">
        <f>G103-I103-K103-M103</f>
        <v>0</v>
      </c>
      <c r="R103" s="129">
        <f t="shared" si="19"/>
        <v>0</v>
      </c>
      <c r="S103" s="129">
        <v>0</v>
      </c>
      <c r="T103" s="131"/>
      <c r="U103" s="126">
        <v>0</v>
      </c>
      <c r="V103" s="126">
        <v>0</v>
      </c>
      <c r="W103" s="126"/>
      <c r="X103" s="127"/>
      <c r="Y103" s="132">
        <f aca="true" t="shared" si="23" ref="Y103:Y104">U103+V103+W103+X103</f>
        <v>0</v>
      </c>
    </row>
    <row r="104" spans="1:25" s="122" customFormat="1" ht="134.25">
      <c r="A104" s="204" t="s">
        <v>127</v>
      </c>
      <c r="B104" s="98">
        <v>2133</v>
      </c>
      <c r="C104" s="195">
        <v>4980.6</v>
      </c>
      <c r="D104" s="125">
        <v>12163.2</v>
      </c>
      <c r="E104" s="126">
        <v>18341.4</v>
      </c>
      <c r="F104" s="127">
        <v>8016.6</v>
      </c>
      <c r="G104" s="127">
        <v>11420.4</v>
      </c>
      <c r="H104" s="128">
        <v>5585.4</v>
      </c>
      <c r="I104" s="127">
        <v>5536.3</v>
      </c>
      <c r="J104" s="173">
        <v>5719.7</v>
      </c>
      <c r="K104" s="126"/>
      <c r="L104" s="126">
        <v>5938.2</v>
      </c>
      <c r="M104" s="126"/>
      <c r="N104" s="126">
        <v>5573.8</v>
      </c>
      <c r="O104" s="133"/>
      <c r="P104" s="128">
        <f>5585.4+5719.7</f>
        <v>11305.099999999999</v>
      </c>
      <c r="Q104" s="130">
        <v>11420.4</v>
      </c>
      <c r="R104" s="129">
        <f t="shared" si="19"/>
        <v>115.30000000000109</v>
      </c>
      <c r="S104" s="129">
        <f aca="true" t="shared" si="24" ref="S104:S105">Q104/P104%</f>
        <v>101.01989367630539</v>
      </c>
      <c r="T104" s="205" t="s">
        <v>128</v>
      </c>
      <c r="U104" s="126">
        <v>3975.4</v>
      </c>
      <c r="V104" s="126">
        <v>4041.2</v>
      </c>
      <c r="W104" s="126">
        <v>4620.3</v>
      </c>
      <c r="X104" s="127">
        <v>5704.5</v>
      </c>
      <c r="Y104" s="132">
        <f t="shared" si="23"/>
        <v>18341.4</v>
      </c>
    </row>
    <row r="105" spans="1:25" s="122" customFormat="1" ht="45.75">
      <c r="A105" s="157" t="s">
        <v>129</v>
      </c>
      <c r="B105" s="136">
        <v>2200</v>
      </c>
      <c r="C105" s="201">
        <f>C93+C102</f>
        <v>5781</v>
      </c>
      <c r="D105" s="201">
        <f>D101+D102</f>
        <v>23392.2</v>
      </c>
      <c r="E105" s="203">
        <f>E101+E102</f>
        <v>35063.200000000004</v>
      </c>
      <c r="F105" s="203">
        <f>F101+F102</f>
        <v>14771.5</v>
      </c>
      <c r="G105" s="203">
        <f>G101+G102</f>
        <v>21858.9</v>
      </c>
      <c r="H105" s="203">
        <f>H101+H102</f>
        <v>9839.199999999999</v>
      </c>
      <c r="I105" s="203">
        <f>I101+I102</f>
        <v>10452.2</v>
      </c>
      <c r="J105" s="203">
        <f>J101+J102</f>
        <v>10075.599999999999</v>
      </c>
      <c r="K105" s="203">
        <f>K101+K102</f>
        <v>0</v>
      </c>
      <c r="L105" s="203">
        <f>L101+L102</f>
        <v>10460.3</v>
      </c>
      <c r="M105" s="203">
        <f>M101+M102</f>
        <v>0</v>
      </c>
      <c r="N105" s="203">
        <f>N101+N102</f>
        <v>9818.9</v>
      </c>
      <c r="O105" s="203">
        <f>O101+O102</f>
        <v>0</v>
      </c>
      <c r="P105" s="197">
        <f>P101+P102</f>
        <v>19914.8</v>
      </c>
      <c r="Q105" s="206">
        <f>Q101+Q102</f>
        <v>21858.9</v>
      </c>
      <c r="R105" s="141">
        <f t="shared" si="19"/>
        <v>1944.1000000000022</v>
      </c>
      <c r="S105" s="141">
        <f t="shared" si="24"/>
        <v>109.76208648844077</v>
      </c>
      <c r="T105" s="131"/>
      <c r="U105" s="196">
        <f>U101+U102</f>
        <v>7136.6</v>
      </c>
      <c r="V105" s="196">
        <f>V101+V102</f>
        <v>7634.9</v>
      </c>
      <c r="W105" s="196">
        <f>W101+W102</f>
        <v>8359</v>
      </c>
      <c r="X105" s="197">
        <f>X101+X102</f>
        <v>10880.6</v>
      </c>
      <c r="Y105" s="197">
        <f>Y101+Y102</f>
        <v>35063.2</v>
      </c>
    </row>
    <row r="106" spans="1:25" s="122" customFormat="1" ht="24" customHeight="1">
      <c r="A106" s="207"/>
      <c r="B106" s="119"/>
      <c r="C106" s="208" t="s">
        <v>130</v>
      </c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131"/>
      <c r="U106" s="209"/>
      <c r="V106" s="209"/>
      <c r="W106" s="209"/>
      <c r="X106" s="210"/>
      <c r="Y106" s="132">
        <f aca="true" t="shared" si="25" ref="Y106:Y114">U106+V106+W106+X106</f>
        <v>0</v>
      </c>
    </row>
    <row r="107" spans="1:25" s="122" customFormat="1" ht="28.5" customHeight="1">
      <c r="A107" s="211" t="s">
        <v>131</v>
      </c>
      <c r="B107" s="97">
        <v>3405</v>
      </c>
      <c r="C107" s="195">
        <v>142.4</v>
      </c>
      <c r="D107" s="195">
        <v>102.8</v>
      </c>
      <c r="E107" s="198">
        <v>248.7</v>
      </c>
      <c r="F107" s="197">
        <v>248.7</v>
      </c>
      <c r="G107" s="197">
        <v>5574.8</v>
      </c>
      <c r="H107" s="197">
        <v>0</v>
      </c>
      <c r="I107" s="197">
        <v>5574.8</v>
      </c>
      <c r="J107" s="196">
        <v>0</v>
      </c>
      <c r="K107" s="196">
        <v>0</v>
      </c>
      <c r="L107" s="196"/>
      <c r="M107" s="196"/>
      <c r="N107" s="196"/>
      <c r="O107" s="198"/>
      <c r="P107" s="197">
        <v>0</v>
      </c>
      <c r="Q107" s="130">
        <v>5574.8</v>
      </c>
      <c r="R107" s="129">
        <f aca="true" t="shared" si="26" ref="R107:R113">Q107-P107</f>
        <v>5574.8</v>
      </c>
      <c r="S107" s="129">
        <v>0</v>
      </c>
      <c r="T107" s="131"/>
      <c r="U107" s="196">
        <v>248.7</v>
      </c>
      <c r="V107" s="196">
        <v>0</v>
      </c>
      <c r="W107" s="196"/>
      <c r="X107" s="197"/>
      <c r="Y107" s="132">
        <f t="shared" si="25"/>
        <v>248.7</v>
      </c>
    </row>
    <row r="108" spans="1:25" s="122" customFormat="1" ht="44.25" hidden="1">
      <c r="A108" s="204" t="s">
        <v>132</v>
      </c>
      <c r="B108" s="212">
        <v>3030</v>
      </c>
      <c r="C108" s="125">
        <v>14568.1</v>
      </c>
      <c r="D108" s="125">
        <v>22236.1</v>
      </c>
      <c r="E108" s="133">
        <v>22236.1</v>
      </c>
      <c r="F108" s="127">
        <v>22236.1</v>
      </c>
      <c r="G108" s="127"/>
      <c r="H108" s="127"/>
      <c r="I108" s="127"/>
      <c r="J108" s="126"/>
      <c r="K108" s="126"/>
      <c r="L108" s="126"/>
      <c r="M108" s="126"/>
      <c r="N108" s="126"/>
      <c r="O108" s="133"/>
      <c r="P108" s="127"/>
      <c r="Q108" s="213">
        <f aca="true" t="shared" si="27" ref="Q108:Q112">G108-I108-K108-M108</f>
        <v>0</v>
      </c>
      <c r="R108" s="129">
        <f t="shared" si="26"/>
        <v>0</v>
      </c>
      <c r="S108" s="129">
        <v>0</v>
      </c>
      <c r="T108" s="131"/>
      <c r="U108" s="126">
        <v>22236.1</v>
      </c>
      <c r="V108" s="126"/>
      <c r="W108" s="126"/>
      <c r="X108" s="127"/>
      <c r="Y108" s="132">
        <f t="shared" si="25"/>
        <v>22236.1</v>
      </c>
    </row>
    <row r="109" spans="1:25" s="122" customFormat="1" ht="24" hidden="1">
      <c r="A109" s="204" t="s">
        <v>133</v>
      </c>
      <c r="B109" s="212">
        <v>3195</v>
      </c>
      <c r="C109" s="125">
        <v>0</v>
      </c>
      <c r="D109" s="125">
        <v>0</v>
      </c>
      <c r="E109" s="133">
        <v>0</v>
      </c>
      <c r="F109" s="127">
        <v>0</v>
      </c>
      <c r="G109" s="127"/>
      <c r="H109" s="127"/>
      <c r="I109" s="127"/>
      <c r="J109" s="126"/>
      <c r="K109" s="126"/>
      <c r="L109" s="126"/>
      <c r="M109" s="126"/>
      <c r="N109" s="126"/>
      <c r="O109" s="133"/>
      <c r="P109" s="127"/>
      <c r="Q109" s="213">
        <f t="shared" si="27"/>
        <v>0</v>
      </c>
      <c r="R109" s="129">
        <f t="shared" si="26"/>
        <v>0</v>
      </c>
      <c r="S109" s="129">
        <v>0</v>
      </c>
      <c r="T109" s="131"/>
      <c r="U109" s="126">
        <v>0</v>
      </c>
      <c r="V109" s="126"/>
      <c r="W109" s="126"/>
      <c r="X109" s="127"/>
      <c r="Y109" s="132">
        <f t="shared" si="25"/>
        <v>0</v>
      </c>
    </row>
    <row r="110" spans="1:25" ht="24" hidden="1">
      <c r="A110" s="204" t="s">
        <v>134</v>
      </c>
      <c r="B110" s="212">
        <v>3295</v>
      </c>
      <c r="C110" s="125">
        <v>0</v>
      </c>
      <c r="D110" s="125">
        <v>0</v>
      </c>
      <c r="E110" s="133">
        <v>0</v>
      </c>
      <c r="F110" s="127">
        <v>0</v>
      </c>
      <c r="G110" s="127"/>
      <c r="H110" s="127"/>
      <c r="I110" s="127"/>
      <c r="J110" s="126"/>
      <c r="K110" s="126"/>
      <c r="L110" s="126"/>
      <c r="M110" s="126"/>
      <c r="N110" s="126"/>
      <c r="O110" s="133"/>
      <c r="P110" s="127"/>
      <c r="Q110" s="213">
        <f t="shared" si="27"/>
        <v>0</v>
      </c>
      <c r="R110" s="129">
        <f t="shared" si="26"/>
        <v>0</v>
      </c>
      <c r="S110" s="129">
        <v>0</v>
      </c>
      <c r="T110" s="214"/>
      <c r="U110" s="126">
        <v>0</v>
      </c>
      <c r="V110" s="126"/>
      <c r="W110" s="126"/>
      <c r="X110" s="127"/>
      <c r="Y110" s="132">
        <f t="shared" si="25"/>
        <v>0</v>
      </c>
    </row>
    <row r="111" spans="1:25" s="122" customFormat="1" ht="24" hidden="1">
      <c r="A111" s="204" t="s">
        <v>135</v>
      </c>
      <c r="B111" s="97">
        <v>3395</v>
      </c>
      <c r="C111" s="125">
        <v>0</v>
      </c>
      <c r="D111" s="125">
        <v>0</v>
      </c>
      <c r="E111" s="133">
        <v>0</v>
      </c>
      <c r="F111" s="127">
        <v>0</v>
      </c>
      <c r="G111" s="127"/>
      <c r="H111" s="127"/>
      <c r="I111" s="127"/>
      <c r="J111" s="126"/>
      <c r="K111" s="126"/>
      <c r="L111" s="126"/>
      <c r="M111" s="126"/>
      <c r="N111" s="126"/>
      <c r="O111" s="133"/>
      <c r="P111" s="127"/>
      <c r="Q111" s="213">
        <f t="shared" si="27"/>
        <v>0</v>
      </c>
      <c r="R111" s="129">
        <f t="shared" si="26"/>
        <v>0</v>
      </c>
      <c r="S111" s="129">
        <v>0</v>
      </c>
      <c r="T111" s="131"/>
      <c r="U111" s="126">
        <v>0</v>
      </c>
      <c r="V111" s="126"/>
      <c r="W111" s="126"/>
      <c r="X111" s="127"/>
      <c r="Y111" s="132">
        <f t="shared" si="25"/>
        <v>0</v>
      </c>
    </row>
    <row r="112" spans="1:25" s="122" customFormat="1" ht="24" hidden="1">
      <c r="A112" s="204" t="s">
        <v>136</v>
      </c>
      <c r="B112" s="97">
        <v>3410</v>
      </c>
      <c r="C112" s="125">
        <v>0</v>
      </c>
      <c r="D112" s="125">
        <v>0</v>
      </c>
      <c r="E112" s="133">
        <v>0</v>
      </c>
      <c r="F112" s="127">
        <v>0</v>
      </c>
      <c r="G112" s="127"/>
      <c r="H112" s="127"/>
      <c r="I112" s="127"/>
      <c r="J112" s="126"/>
      <c r="K112" s="126"/>
      <c r="L112" s="126"/>
      <c r="M112" s="126"/>
      <c r="N112" s="126"/>
      <c r="O112" s="133"/>
      <c r="P112" s="127"/>
      <c r="Q112" s="213">
        <f t="shared" si="27"/>
        <v>0</v>
      </c>
      <c r="R112" s="129">
        <f t="shared" si="26"/>
        <v>0</v>
      </c>
      <c r="S112" s="129">
        <v>0</v>
      </c>
      <c r="T112" s="131"/>
      <c r="U112" s="126">
        <v>0</v>
      </c>
      <c r="V112" s="126"/>
      <c r="W112" s="126"/>
      <c r="X112" s="127"/>
      <c r="Y112" s="132">
        <f t="shared" si="25"/>
        <v>0</v>
      </c>
    </row>
    <row r="113" spans="1:25" s="122" customFormat="1" ht="33" customHeight="1">
      <c r="A113" s="215" t="s">
        <v>137</v>
      </c>
      <c r="B113" s="97">
        <v>3415</v>
      </c>
      <c r="C113" s="153">
        <v>49.2</v>
      </c>
      <c r="D113" s="153">
        <v>157.3</v>
      </c>
      <c r="E113" s="154">
        <v>1165.4</v>
      </c>
      <c r="F113" s="143">
        <v>1165.4</v>
      </c>
      <c r="G113" s="143">
        <v>2184.9</v>
      </c>
      <c r="H113" s="143">
        <v>0</v>
      </c>
      <c r="I113" s="143">
        <v>423.4</v>
      </c>
      <c r="J113" s="142">
        <v>0</v>
      </c>
      <c r="K113" s="142"/>
      <c r="L113" s="142"/>
      <c r="M113" s="142"/>
      <c r="N113" s="142"/>
      <c r="O113" s="154"/>
      <c r="P113" s="143">
        <v>0</v>
      </c>
      <c r="Q113" s="130">
        <v>2184.9</v>
      </c>
      <c r="R113" s="129">
        <f t="shared" si="26"/>
        <v>2184.9</v>
      </c>
      <c r="S113" s="129">
        <v>0</v>
      </c>
      <c r="T113" s="131"/>
      <c r="U113" s="142">
        <v>764.8</v>
      </c>
      <c r="V113" s="142">
        <v>400.6</v>
      </c>
      <c r="W113" s="142"/>
      <c r="X113" s="143"/>
      <c r="Y113" s="132">
        <f t="shared" si="25"/>
        <v>1165.4</v>
      </c>
    </row>
    <row r="114" spans="1:25" s="122" customFormat="1" ht="24" customHeight="1">
      <c r="A114" s="216" t="s">
        <v>138</v>
      </c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131"/>
      <c r="U114" s="217"/>
      <c r="V114" s="217"/>
      <c r="W114" s="217"/>
      <c r="X114" s="218"/>
      <c r="Y114" s="132">
        <f t="shared" si="25"/>
        <v>0</v>
      </c>
    </row>
    <row r="115" spans="1:25" s="122" customFormat="1" ht="44.25">
      <c r="A115" s="219" t="s">
        <v>139</v>
      </c>
      <c r="B115" s="220">
        <v>4000</v>
      </c>
      <c r="C115" s="221">
        <v>18813.7</v>
      </c>
      <c r="D115" s="221">
        <f>SUM(D116:D134)</f>
        <v>110868.5</v>
      </c>
      <c r="E115" s="222">
        <f>SUM(E116:E139)</f>
        <v>61122.7</v>
      </c>
      <c r="F115" s="203">
        <f>SUM(F116:F141)</f>
        <v>10540.3</v>
      </c>
      <c r="G115" s="203">
        <f>SUM(G116:G141)</f>
        <v>34363.6</v>
      </c>
      <c r="H115" s="203">
        <f>SUM(H116:H139)</f>
        <v>10607.5</v>
      </c>
      <c r="I115" s="203">
        <f>SUM(I116:I139)</f>
        <v>13963.4</v>
      </c>
      <c r="J115" s="203">
        <f>SUM(J116:J139)</f>
        <v>13726.5</v>
      </c>
      <c r="K115" s="203">
        <f>SUM(K116:K134)</f>
        <v>0</v>
      </c>
      <c r="L115" s="203">
        <f>SUM(L116:L139)</f>
        <v>21683.3</v>
      </c>
      <c r="M115" s="203">
        <f>SUM(M116:M134)</f>
        <v>0</v>
      </c>
      <c r="N115" s="203">
        <f>SUM(N116:N139)</f>
        <v>10375.2</v>
      </c>
      <c r="O115" s="202">
        <f>SUM(O116:O134)</f>
        <v>0</v>
      </c>
      <c r="P115" s="203">
        <f>SUM(P116:P141)</f>
        <v>32934</v>
      </c>
      <c r="Q115" s="206">
        <f>SUM(Q116:Q141)</f>
        <v>34363.6</v>
      </c>
      <c r="R115" s="141">
        <f aca="true" t="shared" si="28" ref="R115:R136">Q115-P115</f>
        <v>1429.5999999999985</v>
      </c>
      <c r="S115" s="141">
        <f>Q115/P115%</f>
        <v>104.34080281775672</v>
      </c>
      <c r="T115" s="131"/>
      <c r="U115" s="196">
        <f>SUM(U116:U134)</f>
        <v>6136.2</v>
      </c>
      <c r="V115" s="196">
        <f>SUM(V116:V134)</f>
        <v>6219.1</v>
      </c>
      <c r="W115" s="196">
        <f>SUM(W116:W134)</f>
        <v>3572.2</v>
      </c>
      <c r="X115" s="197">
        <f>SUM(X116:X139)</f>
        <v>14618.9</v>
      </c>
      <c r="Y115" s="197">
        <f>SUM(Y116:Y139)</f>
        <v>61122.7</v>
      </c>
    </row>
    <row r="116" spans="1:25" s="122" customFormat="1" ht="24">
      <c r="A116" s="145" t="s">
        <v>140</v>
      </c>
      <c r="B116" s="223" t="s">
        <v>141</v>
      </c>
      <c r="C116" s="224">
        <v>0</v>
      </c>
      <c r="D116" s="224">
        <v>0</v>
      </c>
      <c r="E116" s="127">
        <v>0</v>
      </c>
      <c r="F116" s="197">
        <v>0</v>
      </c>
      <c r="G116" s="127">
        <v>0</v>
      </c>
      <c r="H116" s="128"/>
      <c r="I116" s="127">
        <v>0</v>
      </c>
      <c r="J116" s="128"/>
      <c r="K116" s="197"/>
      <c r="L116" s="197"/>
      <c r="M116" s="197"/>
      <c r="N116" s="197"/>
      <c r="O116" s="225"/>
      <c r="P116" s="128">
        <v>0</v>
      </c>
      <c r="Q116" s="130">
        <f aca="true" t="shared" si="29" ref="Q116:Q126">G116-I116-K116-M116</f>
        <v>0</v>
      </c>
      <c r="R116" s="129">
        <f t="shared" si="28"/>
        <v>0</v>
      </c>
      <c r="S116" s="129">
        <v>0</v>
      </c>
      <c r="T116" s="131"/>
      <c r="U116" s="196">
        <v>0</v>
      </c>
      <c r="V116" s="196">
        <v>0</v>
      </c>
      <c r="W116" s="196"/>
      <c r="X116" s="127"/>
      <c r="Y116" s="132">
        <f aca="true" t="shared" si="30" ref="Y116:Y136">U116+V116+W116+X116</f>
        <v>0</v>
      </c>
    </row>
    <row r="117" spans="1:25" s="122" customFormat="1" ht="44.25">
      <c r="A117" s="145" t="s">
        <v>142</v>
      </c>
      <c r="B117" s="223">
        <v>4020</v>
      </c>
      <c r="C117" s="224">
        <v>0</v>
      </c>
      <c r="D117" s="224">
        <v>69850</v>
      </c>
      <c r="E117" s="127">
        <v>0</v>
      </c>
      <c r="F117" s="127">
        <v>0</v>
      </c>
      <c r="G117" s="127">
        <v>0</v>
      </c>
      <c r="H117" s="128"/>
      <c r="I117" s="127">
        <v>0</v>
      </c>
      <c r="J117" s="128"/>
      <c r="K117" s="127"/>
      <c r="L117" s="127"/>
      <c r="M117" s="127"/>
      <c r="N117" s="127"/>
      <c r="O117" s="129"/>
      <c r="P117" s="128">
        <v>0</v>
      </c>
      <c r="Q117" s="130">
        <f t="shared" si="29"/>
        <v>0</v>
      </c>
      <c r="R117" s="129">
        <f t="shared" si="28"/>
        <v>0</v>
      </c>
      <c r="S117" s="129">
        <v>0</v>
      </c>
      <c r="T117" s="131"/>
      <c r="U117" s="126">
        <v>0</v>
      </c>
      <c r="V117" s="126">
        <v>0</v>
      </c>
      <c r="W117" s="126"/>
      <c r="X117" s="127"/>
      <c r="Y117" s="132">
        <f t="shared" si="30"/>
        <v>0</v>
      </c>
    </row>
    <row r="118" spans="1:25" s="122" customFormat="1" ht="44.25">
      <c r="A118" s="145" t="s">
        <v>143</v>
      </c>
      <c r="B118" s="223">
        <v>4030</v>
      </c>
      <c r="C118" s="224">
        <v>0</v>
      </c>
      <c r="D118" s="224">
        <v>0</v>
      </c>
      <c r="E118" s="127">
        <v>0</v>
      </c>
      <c r="F118" s="127">
        <v>0</v>
      </c>
      <c r="G118" s="127">
        <v>0</v>
      </c>
      <c r="H118" s="128"/>
      <c r="I118" s="127">
        <v>0</v>
      </c>
      <c r="J118" s="128"/>
      <c r="K118" s="127"/>
      <c r="L118" s="127"/>
      <c r="M118" s="127"/>
      <c r="N118" s="127"/>
      <c r="O118" s="129"/>
      <c r="P118" s="128">
        <v>0</v>
      </c>
      <c r="Q118" s="130">
        <f t="shared" si="29"/>
        <v>0</v>
      </c>
      <c r="R118" s="129">
        <f t="shared" si="28"/>
        <v>0</v>
      </c>
      <c r="S118" s="129">
        <v>0</v>
      </c>
      <c r="T118" s="131"/>
      <c r="U118" s="126">
        <v>0</v>
      </c>
      <c r="V118" s="126">
        <v>0</v>
      </c>
      <c r="W118" s="126"/>
      <c r="X118" s="127"/>
      <c r="Y118" s="132">
        <f t="shared" si="30"/>
        <v>0</v>
      </c>
    </row>
    <row r="119" spans="1:25" s="122" customFormat="1" ht="24">
      <c r="A119" s="145" t="s">
        <v>144</v>
      </c>
      <c r="B119" s="223">
        <v>4040</v>
      </c>
      <c r="C119" s="224">
        <v>0</v>
      </c>
      <c r="D119" s="224">
        <v>0</v>
      </c>
      <c r="E119" s="127">
        <v>0</v>
      </c>
      <c r="F119" s="127">
        <v>0</v>
      </c>
      <c r="G119" s="127">
        <v>0</v>
      </c>
      <c r="H119" s="128"/>
      <c r="I119" s="127">
        <v>0</v>
      </c>
      <c r="J119" s="128"/>
      <c r="K119" s="127"/>
      <c r="L119" s="127"/>
      <c r="M119" s="127"/>
      <c r="N119" s="127"/>
      <c r="O119" s="129"/>
      <c r="P119" s="128">
        <v>0</v>
      </c>
      <c r="Q119" s="130">
        <f t="shared" si="29"/>
        <v>0</v>
      </c>
      <c r="R119" s="129">
        <f t="shared" si="28"/>
        <v>0</v>
      </c>
      <c r="S119" s="129">
        <v>0</v>
      </c>
      <c r="T119" s="131"/>
      <c r="U119" s="126">
        <v>0</v>
      </c>
      <c r="V119" s="126">
        <v>0</v>
      </c>
      <c r="W119" s="126"/>
      <c r="X119" s="127"/>
      <c r="Y119" s="132">
        <f t="shared" si="30"/>
        <v>0</v>
      </c>
    </row>
    <row r="120" spans="1:25" s="122" customFormat="1" ht="44.25">
      <c r="A120" s="145" t="s">
        <v>145</v>
      </c>
      <c r="B120" s="223">
        <v>4050</v>
      </c>
      <c r="C120" s="224">
        <v>0</v>
      </c>
      <c r="D120" s="224">
        <v>249.3</v>
      </c>
      <c r="E120" s="127">
        <v>0</v>
      </c>
      <c r="F120" s="127">
        <v>0</v>
      </c>
      <c r="G120" s="127">
        <v>0</v>
      </c>
      <c r="H120" s="128"/>
      <c r="I120" s="127">
        <v>0</v>
      </c>
      <c r="J120" s="128"/>
      <c r="K120" s="127"/>
      <c r="L120" s="127"/>
      <c r="M120" s="127"/>
      <c r="N120" s="127"/>
      <c r="O120" s="129"/>
      <c r="P120" s="128">
        <v>0</v>
      </c>
      <c r="Q120" s="130">
        <f t="shared" si="29"/>
        <v>0</v>
      </c>
      <c r="R120" s="129">
        <f t="shared" si="28"/>
        <v>0</v>
      </c>
      <c r="S120" s="129">
        <v>0</v>
      </c>
      <c r="T120" s="131"/>
      <c r="U120" s="126">
        <v>0</v>
      </c>
      <c r="V120" s="126">
        <v>0</v>
      </c>
      <c r="W120" s="126"/>
      <c r="X120" s="127"/>
      <c r="Y120" s="132">
        <f t="shared" si="30"/>
        <v>0</v>
      </c>
    </row>
    <row r="121" spans="1:25" s="122" customFormat="1" ht="44.25">
      <c r="A121" s="145" t="s">
        <v>146</v>
      </c>
      <c r="B121" s="223">
        <v>4060</v>
      </c>
      <c r="C121" s="224">
        <v>0</v>
      </c>
      <c r="D121" s="224">
        <v>5699.9</v>
      </c>
      <c r="E121" s="127">
        <v>3000</v>
      </c>
      <c r="F121" s="127">
        <v>133.5</v>
      </c>
      <c r="G121" s="127">
        <v>6173.8</v>
      </c>
      <c r="H121" s="128">
        <v>6000</v>
      </c>
      <c r="I121" s="127">
        <v>0</v>
      </c>
      <c r="J121" s="128">
        <v>4000</v>
      </c>
      <c r="K121" s="127"/>
      <c r="L121" s="127">
        <v>5000</v>
      </c>
      <c r="M121" s="127"/>
      <c r="N121" s="127">
        <v>5000</v>
      </c>
      <c r="O121" s="129"/>
      <c r="P121" s="128">
        <v>0</v>
      </c>
      <c r="Q121" s="130">
        <f t="shared" si="29"/>
        <v>6173.8</v>
      </c>
      <c r="R121" s="129">
        <f t="shared" si="28"/>
        <v>6173.8</v>
      </c>
      <c r="S121" s="129">
        <v>0</v>
      </c>
      <c r="T121" s="131"/>
      <c r="U121" s="126">
        <v>133.5</v>
      </c>
      <c r="V121" s="126">
        <v>1815.3</v>
      </c>
      <c r="W121" s="126"/>
      <c r="X121" s="127">
        <v>1051.2</v>
      </c>
      <c r="Y121" s="132">
        <f t="shared" si="30"/>
        <v>3000</v>
      </c>
    </row>
    <row r="122" spans="1:25" s="122" customFormat="1" ht="44.25">
      <c r="A122" s="145" t="s">
        <v>147</v>
      </c>
      <c r="B122" s="223">
        <v>4070</v>
      </c>
      <c r="C122" s="224">
        <v>0</v>
      </c>
      <c r="D122" s="224">
        <v>200</v>
      </c>
      <c r="E122" s="127">
        <v>0</v>
      </c>
      <c r="F122" s="127">
        <v>0</v>
      </c>
      <c r="G122" s="127">
        <v>0</v>
      </c>
      <c r="H122" s="128"/>
      <c r="I122" s="127">
        <v>0</v>
      </c>
      <c r="J122" s="128"/>
      <c r="K122" s="127"/>
      <c r="L122" s="127"/>
      <c r="M122" s="127"/>
      <c r="N122" s="127"/>
      <c r="O122" s="129"/>
      <c r="P122" s="128">
        <v>0</v>
      </c>
      <c r="Q122" s="130">
        <f t="shared" si="29"/>
        <v>0</v>
      </c>
      <c r="R122" s="129">
        <f t="shared" si="28"/>
        <v>0</v>
      </c>
      <c r="S122" s="129">
        <v>0</v>
      </c>
      <c r="T122" s="131"/>
      <c r="U122" s="126">
        <v>0</v>
      </c>
      <c r="V122" s="126">
        <v>0</v>
      </c>
      <c r="W122" s="126"/>
      <c r="X122" s="127"/>
      <c r="Y122" s="132">
        <f t="shared" si="30"/>
        <v>0</v>
      </c>
    </row>
    <row r="123" spans="1:25" s="122" customFormat="1" ht="44.25">
      <c r="A123" s="145" t="s">
        <v>148</v>
      </c>
      <c r="B123" s="223">
        <v>4080</v>
      </c>
      <c r="C123" s="224">
        <v>0</v>
      </c>
      <c r="D123" s="224">
        <v>60</v>
      </c>
      <c r="E123" s="127">
        <v>0</v>
      </c>
      <c r="F123" s="127">
        <v>0</v>
      </c>
      <c r="G123" s="127">
        <v>0</v>
      </c>
      <c r="H123" s="128"/>
      <c r="I123" s="127">
        <v>0</v>
      </c>
      <c r="J123" s="128"/>
      <c r="K123" s="127"/>
      <c r="L123" s="127"/>
      <c r="M123" s="127"/>
      <c r="N123" s="127"/>
      <c r="O123" s="129"/>
      <c r="P123" s="128">
        <v>0</v>
      </c>
      <c r="Q123" s="130">
        <f t="shared" si="29"/>
        <v>0</v>
      </c>
      <c r="R123" s="129">
        <f t="shared" si="28"/>
        <v>0</v>
      </c>
      <c r="S123" s="129">
        <v>0</v>
      </c>
      <c r="T123" s="131"/>
      <c r="U123" s="126">
        <v>0</v>
      </c>
      <c r="V123" s="126">
        <v>0</v>
      </c>
      <c r="W123" s="126"/>
      <c r="X123" s="127"/>
      <c r="Y123" s="132">
        <f t="shared" si="30"/>
        <v>0</v>
      </c>
    </row>
    <row r="124" spans="1:25" s="122" customFormat="1" ht="65.25">
      <c r="A124" s="145" t="s">
        <v>149</v>
      </c>
      <c r="B124" s="223">
        <v>4090</v>
      </c>
      <c r="C124" s="224">
        <v>0</v>
      </c>
      <c r="D124" s="224">
        <v>0</v>
      </c>
      <c r="E124" s="127">
        <v>0</v>
      </c>
      <c r="F124" s="127">
        <v>0</v>
      </c>
      <c r="G124" s="127">
        <v>0</v>
      </c>
      <c r="H124" s="128"/>
      <c r="I124" s="127">
        <v>0</v>
      </c>
      <c r="J124" s="128"/>
      <c r="K124" s="127"/>
      <c r="L124" s="127"/>
      <c r="M124" s="127"/>
      <c r="N124" s="127"/>
      <c r="O124" s="129"/>
      <c r="P124" s="128">
        <v>0</v>
      </c>
      <c r="Q124" s="130">
        <f t="shared" si="29"/>
        <v>0</v>
      </c>
      <c r="R124" s="129">
        <f t="shared" si="28"/>
        <v>0</v>
      </c>
      <c r="S124" s="129">
        <v>0</v>
      </c>
      <c r="T124" s="131"/>
      <c r="U124" s="126">
        <v>0</v>
      </c>
      <c r="V124" s="126">
        <v>0</v>
      </c>
      <c r="W124" s="126"/>
      <c r="X124" s="127"/>
      <c r="Y124" s="132">
        <f t="shared" si="30"/>
        <v>0</v>
      </c>
    </row>
    <row r="125" spans="1:25" s="122" customFormat="1" ht="24">
      <c r="A125" s="145" t="s">
        <v>150</v>
      </c>
      <c r="B125" s="223">
        <v>4100</v>
      </c>
      <c r="C125" s="224">
        <v>0</v>
      </c>
      <c r="D125" s="224">
        <v>0</v>
      </c>
      <c r="E125" s="127">
        <v>0</v>
      </c>
      <c r="F125" s="127">
        <v>0</v>
      </c>
      <c r="G125" s="127">
        <v>0</v>
      </c>
      <c r="H125" s="128"/>
      <c r="I125" s="127">
        <v>0</v>
      </c>
      <c r="J125" s="128"/>
      <c r="K125" s="127"/>
      <c r="L125" s="127"/>
      <c r="M125" s="127"/>
      <c r="N125" s="127"/>
      <c r="O125" s="129"/>
      <c r="P125" s="128">
        <v>0</v>
      </c>
      <c r="Q125" s="130">
        <f t="shared" si="29"/>
        <v>0</v>
      </c>
      <c r="R125" s="129">
        <f t="shared" si="28"/>
        <v>0</v>
      </c>
      <c r="S125" s="129">
        <v>0</v>
      </c>
      <c r="T125" s="131"/>
      <c r="U125" s="126">
        <v>0</v>
      </c>
      <c r="V125" s="126">
        <v>0</v>
      </c>
      <c r="W125" s="126"/>
      <c r="X125" s="127"/>
      <c r="Y125" s="132">
        <f t="shared" si="30"/>
        <v>0</v>
      </c>
    </row>
    <row r="126" spans="1:25" s="122" customFormat="1" ht="44.25">
      <c r="A126" s="145" t="s">
        <v>151</v>
      </c>
      <c r="B126" s="223">
        <v>4110</v>
      </c>
      <c r="C126" s="224">
        <v>0</v>
      </c>
      <c r="D126" s="224">
        <v>0</v>
      </c>
      <c r="E126" s="127">
        <v>0</v>
      </c>
      <c r="F126" s="127">
        <v>0</v>
      </c>
      <c r="G126" s="127">
        <v>0</v>
      </c>
      <c r="H126" s="128"/>
      <c r="I126" s="127">
        <v>0</v>
      </c>
      <c r="J126" s="128"/>
      <c r="K126" s="127"/>
      <c r="L126" s="127"/>
      <c r="M126" s="127"/>
      <c r="N126" s="127"/>
      <c r="O126" s="129"/>
      <c r="P126" s="128">
        <f>6000+4000</f>
        <v>10000</v>
      </c>
      <c r="Q126" s="130">
        <f t="shared" si="29"/>
        <v>0</v>
      </c>
      <c r="R126" s="129">
        <f t="shared" si="28"/>
        <v>-10000</v>
      </c>
      <c r="S126" s="129">
        <v>0</v>
      </c>
      <c r="T126" s="131"/>
      <c r="U126" s="126">
        <v>0</v>
      </c>
      <c r="V126" s="126">
        <v>0</v>
      </c>
      <c r="W126" s="126"/>
      <c r="X126" s="127"/>
      <c r="Y126" s="132">
        <f t="shared" si="30"/>
        <v>0</v>
      </c>
    </row>
    <row r="127" spans="1:25" s="122" customFormat="1" ht="44.25">
      <c r="A127" s="145" t="s">
        <v>152</v>
      </c>
      <c r="B127" s="223"/>
      <c r="C127" s="224"/>
      <c r="D127" s="224">
        <v>0</v>
      </c>
      <c r="E127" s="127">
        <v>2000</v>
      </c>
      <c r="F127" s="127">
        <v>963.6</v>
      </c>
      <c r="G127" s="127">
        <v>2255</v>
      </c>
      <c r="H127" s="128"/>
      <c r="I127" s="127">
        <v>2255</v>
      </c>
      <c r="J127" s="128"/>
      <c r="K127" s="127"/>
      <c r="L127" s="127"/>
      <c r="M127" s="127"/>
      <c r="N127" s="127"/>
      <c r="O127" s="129"/>
      <c r="P127" s="128">
        <v>2500</v>
      </c>
      <c r="Q127" s="130">
        <v>2255</v>
      </c>
      <c r="R127" s="129">
        <f t="shared" si="28"/>
        <v>-245</v>
      </c>
      <c r="S127" s="129">
        <v>0</v>
      </c>
      <c r="T127" s="131"/>
      <c r="U127" s="126">
        <v>963.6</v>
      </c>
      <c r="V127" s="126">
        <v>0</v>
      </c>
      <c r="W127" s="126">
        <v>285.9</v>
      </c>
      <c r="X127" s="127">
        <v>750.5</v>
      </c>
      <c r="Y127" s="132">
        <f t="shared" si="30"/>
        <v>2000</v>
      </c>
    </row>
    <row r="128" spans="1:25" s="122" customFormat="1" ht="44.25">
      <c r="A128" s="191" t="s">
        <v>153</v>
      </c>
      <c r="B128" s="223"/>
      <c r="C128" s="224"/>
      <c r="D128" s="224">
        <v>3065.8</v>
      </c>
      <c r="E128" s="127">
        <v>8095.9</v>
      </c>
      <c r="F128" s="127">
        <v>3841</v>
      </c>
      <c r="G128" s="127">
        <v>5805.3</v>
      </c>
      <c r="H128" s="128"/>
      <c r="I128" s="127">
        <v>3651.3</v>
      </c>
      <c r="J128" s="128"/>
      <c r="K128" s="127"/>
      <c r="L128" s="127"/>
      <c r="M128" s="127"/>
      <c r="N128" s="127"/>
      <c r="O128" s="129"/>
      <c r="P128" s="128">
        <v>3900</v>
      </c>
      <c r="Q128" s="130">
        <v>5805.3</v>
      </c>
      <c r="R128" s="129">
        <f t="shared" si="28"/>
        <v>1905.3000000000002</v>
      </c>
      <c r="S128" s="129">
        <f>Q128/P128%</f>
        <v>148.85384615384615</v>
      </c>
      <c r="T128" s="131"/>
      <c r="U128" s="126">
        <v>2817.2</v>
      </c>
      <c r="V128" s="126">
        <v>1023.8</v>
      </c>
      <c r="W128" s="126">
        <v>1224.6</v>
      </c>
      <c r="X128" s="127">
        <v>3030.3</v>
      </c>
      <c r="Y128" s="132">
        <f t="shared" si="30"/>
        <v>8095.900000000001</v>
      </c>
    </row>
    <row r="129" spans="1:25" s="122" customFormat="1" ht="44.25">
      <c r="A129" s="145" t="s">
        <v>154</v>
      </c>
      <c r="B129" s="223"/>
      <c r="C129" s="224"/>
      <c r="D129" s="224">
        <v>26066.8</v>
      </c>
      <c r="E129" s="127">
        <v>6297.1</v>
      </c>
      <c r="F129" s="127">
        <v>1618.7</v>
      </c>
      <c r="G129" s="127">
        <v>3000</v>
      </c>
      <c r="H129" s="128"/>
      <c r="I129" s="127">
        <v>0</v>
      </c>
      <c r="J129" s="128"/>
      <c r="K129" s="127"/>
      <c r="L129" s="127"/>
      <c r="M129" s="127"/>
      <c r="N129" s="127"/>
      <c r="O129" s="129"/>
      <c r="P129" s="128">
        <v>3000</v>
      </c>
      <c r="Q129" s="130">
        <f aca="true" t="shared" si="31" ref="Q129:Q130">G129-I129-K129-M129</f>
        <v>3000</v>
      </c>
      <c r="R129" s="129">
        <f t="shared" si="28"/>
        <v>0</v>
      </c>
      <c r="S129" s="129">
        <v>0</v>
      </c>
      <c r="T129" s="131"/>
      <c r="U129" s="126">
        <v>1618.7</v>
      </c>
      <c r="V129" s="126">
        <v>0</v>
      </c>
      <c r="W129" s="126"/>
      <c r="X129" s="127">
        <v>4678.4</v>
      </c>
      <c r="Y129" s="132">
        <f t="shared" si="30"/>
        <v>6297.099999999999</v>
      </c>
    </row>
    <row r="130" spans="1:25" s="122" customFormat="1" ht="30.75" customHeight="1">
      <c r="A130" s="145" t="s">
        <v>155</v>
      </c>
      <c r="B130" s="223"/>
      <c r="C130" s="224"/>
      <c r="D130" s="224">
        <v>0</v>
      </c>
      <c r="E130" s="127">
        <v>0</v>
      </c>
      <c r="F130" s="127">
        <v>0</v>
      </c>
      <c r="G130" s="127">
        <v>0</v>
      </c>
      <c r="H130" s="128"/>
      <c r="I130" s="127">
        <v>0</v>
      </c>
      <c r="J130" s="128"/>
      <c r="K130" s="127"/>
      <c r="L130" s="127"/>
      <c r="M130" s="127"/>
      <c r="N130" s="127"/>
      <c r="O130" s="129"/>
      <c r="P130" s="128">
        <v>0</v>
      </c>
      <c r="Q130" s="130">
        <f t="shared" si="31"/>
        <v>0</v>
      </c>
      <c r="R130" s="129">
        <f t="shared" si="28"/>
        <v>0</v>
      </c>
      <c r="S130" s="129">
        <v>0</v>
      </c>
      <c r="T130" s="131"/>
      <c r="U130" s="126">
        <v>0</v>
      </c>
      <c r="V130" s="126">
        <v>0</v>
      </c>
      <c r="W130" s="126"/>
      <c r="X130" s="127"/>
      <c r="Y130" s="132">
        <f t="shared" si="30"/>
        <v>0</v>
      </c>
    </row>
    <row r="131" spans="1:25" s="122" customFormat="1" ht="44.25">
      <c r="A131" s="145" t="s">
        <v>156</v>
      </c>
      <c r="B131" s="223"/>
      <c r="C131" s="224"/>
      <c r="D131" s="224">
        <v>2000</v>
      </c>
      <c r="E131" s="127">
        <v>3100</v>
      </c>
      <c r="F131" s="127">
        <v>999.9</v>
      </c>
      <c r="G131" s="127">
        <v>4323.9</v>
      </c>
      <c r="H131" s="128"/>
      <c r="I131" s="127">
        <v>1892.7</v>
      </c>
      <c r="J131" s="128"/>
      <c r="K131" s="127"/>
      <c r="L131" s="127"/>
      <c r="M131" s="127"/>
      <c r="N131" s="127"/>
      <c r="O131" s="129"/>
      <c r="P131" s="128">
        <v>2000</v>
      </c>
      <c r="Q131" s="130">
        <v>4323.9</v>
      </c>
      <c r="R131" s="129">
        <f t="shared" si="28"/>
        <v>2323.8999999999996</v>
      </c>
      <c r="S131" s="129">
        <f>Q131/P131%</f>
        <v>216.195</v>
      </c>
      <c r="T131" s="131"/>
      <c r="U131" s="126">
        <v>603.2</v>
      </c>
      <c r="V131" s="126">
        <v>396.4</v>
      </c>
      <c r="W131" s="126">
        <v>1045.4</v>
      </c>
      <c r="X131" s="127">
        <v>1055</v>
      </c>
      <c r="Y131" s="132">
        <f t="shared" si="30"/>
        <v>3100</v>
      </c>
    </row>
    <row r="132" spans="1:25" s="122" customFormat="1" ht="44.25">
      <c r="A132" s="226" t="s">
        <v>157</v>
      </c>
      <c r="B132" s="223"/>
      <c r="C132" s="224"/>
      <c r="D132" s="224">
        <v>0</v>
      </c>
      <c r="E132" s="127">
        <v>0</v>
      </c>
      <c r="F132" s="127">
        <v>0</v>
      </c>
      <c r="G132" s="127">
        <v>0</v>
      </c>
      <c r="H132" s="128"/>
      <c r="I132" s="127">
        <v>0</v>
      </c>
      <c r="J132" s="128"/>
      <c r="K132" s="127"/>
      <c r="L132" s="127"/>
      <c r="M132" s="127"/>
      <c r="N132" s="127"/>
      <c r="O132" s="129"/>
      <c r="P132" s="128">
        <v>0</v>
      </c>
      <c r="Q132" s="130">
        <f aca="true" t="shared" si="32" ref="Q132:Q133">G132-I132-K132-M132</f>
        <v>0</v>
      </c>
      <c r="R132" s="129">
        <f t="shared" si="28"/>
        <v>0</v>
      </c>
      <c r="S132" s="129">
        <v>0</v>
      </c>
      <c r="T132" s="131"/>
      <c r="U132" s="126"/>
      <c r="V132" s="126"/>
      <c r="W132" s="126"/>
      <c r="X132" s="127"/>
      <c r="Y132" s="132">
        <f t="shared" si="30"/>
        <v>0</v>
      </c>
    </row>
    <row r="133" spans="1:25" s="122" customFormat="1" ht="44.25">
      <c r="A133" s="145" t="s">
        <v>158</v>
      </c>
      <c r="B133" s="223"/>
      <c r="C133" s="224"/>
      <c r="D133" s="224">
        <v>1676.7</v>
      </c>
      <c r="E133" s="127">
        <v>1800</v>
      </c>
      <c r="F133" s="127">
        <v>848.6</v>
      </c>
      <c r="G133" s="127">
        <v>289.8</v>
      </c>
      <c r="H133" s="128"/>
      <c r="I133" s="127">
        <v>0</v>
      </c>
      <c r="J133" s="128"/>
      <c r="K133" s="127"/>
      <c r="L133" s="127"/>
      <c r="M133" s="127"/>
      <c r="N133" s="127"/>
      <c r="O133" s="129"/>
      <c r="P133" s="128">
        <v>0</v>
      </c>
      <c r="Q133" s="130">
        <f t="shared" si="32"/>
        <v>289.8</v>
      </c>
      <c r="R133" s="129">
        <f t="shared" si="28"/>
        <v>289.8</v>
      </c>
      <c r="S133" s="129">
        <v>0</v>
      </c>
      <c r="T133" s="131"/>
      <c r="U133" s="126">
        <v>0</v>
      </c>
      <c r="V133" s="126">
        <v>848.6</v>
      </c>
      <c r="W133" s="126">
        <v>51.3</v>
      </c>
      <c r="X133" s="127">
        <v>900.1</v>
      </c>
      <c r="Y133" s="132">
        <f t="shared" si="30"/>
        <v>1800</v>
      </c>
    </row>
    <row r="134" spans="1:25" s="122" customFormat="1" ht="60.75" customHeight="1">
      <c r="A134" s="227" t="s">
        <v>159</v>
      </c>
      <c r="B134" s="223"/>
      <c r="C134" s="224"/>
      <c r="D134" s="224">
        <v>2000</v>
      </c>
      <c r="E134" s="127">
        <v>3100</v>
      </c>
      <c r="F134" s="127">
        <v>2135</v>
      </c>
      <c r="G134" s="127">
        <v>3473.3</v>
      </c>
      <c r="H134" s="128"/>
      <c r="I134" s="127">
        <v>1557</v>
      </c>
      <c r="J134" s="128"/>
      <c r="K134" s="127"/>
      <c r="L134" s="127"/>
      <c r="M134" s="127"/>
      <c r="N134" s="127"/>
      <c r="O134" s="129"/>
      <c r="P134" s="128">
        <v>2000</v>
      </c>
      <c r="Q134" s="130">
        <v>3473.3</v>
      </c>
      <c r="R134" s="129">
        <f t="shared" si="28"/>
        <v>1473.3000000000002</v>
      </c>
      <c r="S134" s="129">
        <v>0</v>
      </c>
      <c r="T134" s="131"/>
      <c r="U134" s="126">
        <v>0</v>
      </c>
      <c r="V134" s="126">
        <v>2135</v>
      </c>
      <c r="W134" s="126">
        <v>965</v>
      </c>
      <c r="X134" s="127"/>
      <c r="Y134" s="132">
        <f t="shared" si="30"/>
        <v>3100</v>
      </c>
    </row>
    <row r="135" spans="1:25" s="122" customFormat="1" ht="86.25">
      <c r="A135" s="228" t="s">
        <v>160</v>
      </c>
      <c r="B135" s="223"/>
      <c r="C135" s="224"/>
      <c r="D135" s="224">
        <v>0</v>
      </c>
      <c r="E135" s="127">
        <v>0</v>
      </c>
      <c r="F135" s="127">
        <v>0</v>
      </c>
      <c r="G135" s="127">
        <v>0</v>
      </c>
      <c r="H135" s="128"/>
      <c r="I135" s="127">
        <v>0</v>
      </c>
      <c r="J135" s="128"/>
      <c r="K135" s="127"/>
      <c r="L135" s="127"/>
      <c r="M135" s="127"/>
      <c r="N135" s="127"/>
      <c r="O135" s="129"/>
      <c r="P135" s="128">
        <v>0</v>
      </c>
      <c r="Q135" s="130">
        <f>G135-I135-K135-M135</f>
        <v>0</v>
      </c>
      <c r="R135" s="129">
        <f t="shared" si="28"/>
        <v>0</v>
      </c>
      <c r="S135" s="129">
        <v>0</v>
      </c>
      <c r="T135" s="131"/>
      <c r="U135" s="126"/>
      <c r="V135" s="126"/>
      <c r="W135" s="126"/>
      <c r="X135" s="127"/>
      <c r="Y135" s="132">
        <f t="shared" si="30"/>
        <v>0</v>
      </c>
    </row>
    <row r="136" spans="1:25" s="122" customFormat="1" ht="45.75">
      <c r="A136" s="226" t="s">
        <v>161</v>
      </c>
      <c r="B136" s="223"/>
      <c r="C136" s="224"/>
      <c r="D136" s="229">
        <v>0</v>
      </c>
      <c r="E136" s="230">
        <v>33729.7</v>
      </c>
      <c r="F136" s="127">
        <v>0</v>
      </c>
      <c r="G136" s="230">
        <v>9034</v>
      </c>
      <c r="H136" s="128">
        <v>4607.5</v>
      </c>
      <c r="I136" s="230">
        <v>4607.4</v>
      </c>
      <c r="J136" s="128">
        <v>4426.5</v>
      </c>
      <c r="K136" s="127"/>
      <c r="L136" s="127">
        <v>4283.3</v>
      </c>
      <c r="M136" s="127"/>
      <c r="N136" s="127">
        <v>5375.2</v>
      </c>
      <c r="O136" s="129"/>
      <c r="P136" s="128">
        <f>4607.5+4426.5</f>
        <v>9034</v>
      </c>
      <c r="Q136" s="130">
        <v>9034</v>
      </c>
      <c r="R136" s="129">
        <f t="shared" si="28"/>
        <v>0</v>
      </c>
      <c r="S136" s="129">
        <f>Q136/P136%</f>
        <v>100</v>
      </c>
      <c r="T136" s="131"/>
      <c r="U136" s="126"/>
      <c r="V136" s="126"/>
      <c r="W136" s="126">
        <v>30576.3</v>
      </c>
      <c r="X136" s="230">
        <v>3153.4</v>
      </c>
      <c r="Y136" s="132">
        <f t="shared" si="30"/>
        <v>33729.7</v>
      </c>
    </row>
    <row r="137" spans="1:25" s="122" customFormat="1" ht="86.25" hidden="1">
      <c r="A137" s="231" t="s">
        <v>162</v>
      </c>
      <c r="B137" s="223"/>
      <c r="C137" s="224"/>
      <c r="D137" s="229"/>
      <c r="E137" s="230"/>
      <c r="F137" s="127"/>
      <c r="G137" s="230"/>
      <c r="H137" s="128"/>
      <c r="I137" s="230"/>
      <c r="J137" s="128">
        <v>4200</v>
      </c>
      <c r="K137" s="127"/>
      <c r="L137" s="127">
        <v>9800</v>
      </c>
      <c r="M137" s="127"/>
      <c r="N137" s="127"/>
      <c r="O137" s="129"/>
      <c r="P137" s="128"/>
      <c r="Q137" s="130"/>
      <c r="R137" s="129"/>
      <c r="S137" s="129"/>
      <c r="T137" s="131"/>
      <c r="U137" s="126"/>
      <c r="V137" s="126"/>
      <c r="W137" s="126"/>
      <c r="X137" s="230"/>
      <c r="Y137" s="132"/>
    </row>
    <row r="138" spans="1:25" s="122" customFormat="1" ht="128.25" hidden="1">
      <c r="A138" s="226" t="s">
        <v>163</v>
      </c>
      <c r="B138" s="223"/>
      <c r="C138" s="224"/>
      <c r="D138" s="229"/>
      <c r="E138" s="230"/>
      <c r="F138" s="127"/>
      <c r="G138" s="230"/>
      <c r="H138" s="128"/>
      <c r="I138" s="230"/>
      <c r="J138" s="128">
        <v>1100</v>
      </c>
      <c r="K138" s="127"/>
      <c r="L138" s="127">
        <v>2600</v>
      </c>
      <c r="M138" s="127"/>
      <c r="N138" s="127"/>
      <c r="O138" s="129"/>
      <c r="P138" s="128"/>
      <c r="Q138" s="130"/>
      <c r="R138" s="129"/>
      <c r="S138" s="129"/>
      <c r="T138" s="131"/>
      <c r="U138" s="126"/>
      <c r="V138" s="126"/>
      <c r="W138" s="126"/>
      <c r="X138" s="230"/>
      <c r="Y138" s="132"/>
    </row>
    <row r="139" spans="1:25" s="122" customFormat="1" ht="67.5">
      <c r="A139" s="226" t="s">
        <v>164</v>
      </c>
      <c r="B139" s="223"/>
      <c r="C139" s="224"/>
      <c r="D139" s="229">
        <v>0</v>
      </c>
      <c r="E139" s="230">
        <v>0</v>
      </c>
      <c r="F139" s="127">
        <v>0</v>
      </c>
      <c r="G139" s="230">
        <v>0</v>
      </c>
      <c r="H139" s="128"/>
      <c r="I139" s="230">
        <v>0</v>
      </c>
      <c r="J139" s="128"/>
      <c r="K139" s="127"/>
      <c r="L139" s="127"/>
      <c r="M139" s="127"/>
      <c r="N139" s="127"/>
      <c r="O139" s="129"/>
      <c r="P139" s="128">
        <v>0</v>
      </c>
      <c r="Q139" s="130">
        <f aca="true" t="shared" si="33" ref="Q139:Q141">G139-I139-K139-M139</f>
        <v>0</v>
      </c>
      <c r="R139" s="129">
        <f aca="true" t="shared" si="34" ref="R139:R141">Q139-P139</f>
        <v>0</v>
      </c>
      <c r="S139" s="129">
        <v>0</v>
      </c>
      <c r="T139" s="131"/>
      <c r="U139" s="126"/>
      <c r="V139" s="126"/>
      <c r="W139" s="126"/>
      <c r="X139" s="230"/>
      <c r="Y139" s="132">
        <f>U139+V139+W139+X139</f>
        <v>0</v>
      </c>
    </row>
    <row r="140" spans="1:25" s="122" customFormat="1" ht="67.5">
      <c r="A140" s="232" t="s">
        <v>165</v>
      </c>
      <c r="B140" s="223"/>
      <c r="C140" s="224"/>
      <c r="D140" s="229"/>
      <c r="E140" s="230"/>
      <c r="F140" s="127">
        <v>0</v>
      </c>
      <c r="G140" s="230">
        <v>8.5</v>
      </c>
      <c r="H140" s="128"/>
      <c r="I140" s="230"/>
      <c r="J140" s="128"/>
      <c r="K140" s="127"/>
      <c r="L140" s="127"/>
      <c r="M140" s="127"/>
      <c r="N140" s="127"/>
      <c r="O140" s="129"/>
      <c r="P140" s="128">
        <v>500</v>
      </c>
      <c r="Q140" s="130">
        <f t="shared" si="33"/>
        <v>8.5</v>
      </c>
      <c r="R140" s="129">
        <f t="shared" si="34"/>
        <v>-491.5</v>
      </c>
      <c r="S140" s="129">
        <f>Q140/P140%</f>
        <v>1.7</v>
      </c>
      <c r="T140" s="131"/>
      <c r="U140" s="126"/>
      <c r="V140" s="126"/>
      <c r="W140" s="126"/>
      <c r="X140" s="230"/>
      <c r="Y140" s="132"/>
    </row>
    <row r="141" spans="1:25" s="122" customFormat="1" ht="24">
      <c r="A141" s="232" t="s">
        <v>166</v>
      </c>
      <c r="B141" s="223"/>
      <c r="C141" s="224"/>
      <c r="D141" s="229"/>
      <c r="E141" s="230"/>
      <c r="F141" s="127">
        <v>0</v>
      </c>
      <c r="G141" s="230">
        <v>0</v>
      </c>
      <c r="H141" s="128"/>
      <c r="I141" s="230"/>
      <c r="J141" s="128"/>
      <c r="K141" s="127"/>
      <c r="L141" s="127"/>
      <c r="M141" s="127"/>
      <c r="N141" s="127"/>
      <c r="O141" s="129"/>
      <c r="P141" s="128">
        <v>0</v>
      </c>
      <c r="Q141" s="130">
        <f t="shared" si="33"/>
        <v>0</v>
      </c>
      <c r="R141" s="129">
        <f t="shared" si="34"/>
        <v>0</v>
      </c>
      <c r="S141" s="129">
        <v>0</v>
      </c>
      <c r="T141" s="131"/>
      <c r="U141" s="126"/>
      <c r="V141" s="126"/>
      <c r="W141" s="126"/>
      <c r="X141" s="230"/>
      <c r="Y141" s="132"/>
    </row>
    <row r="142" spans="1:25" s="122" customFormat="1" ht="95.25" customHeight="1">
      <c r="A142" s="226" t="s">
        <v>167</v>
      </c>
      <c r="B142" s="223"/>
      <c r="C142" s="224"/>
      <c r="D142" s="229"/>
      <c r="E142" s="230"/>
      <c r="F142" s="127">
        <v>0</v>
      </c>
      <c r="G142" s="230">
        <v>0</v>
      </c>
      <c r="H142" s="128"/>
      <c r="I142" s="230"/>
      <c r="J142" s="128"/>
      <c r="K142" s="127"/>
      <c r="L142" s="127"/>
      <c r="M142" s="127"/>
      <c r="N142" s="127"/>
      <c r="O142" s="129"/>
      <c r="P142" s="128">
        <v>1100</v>
      </c>
      <c r="Q142" s="130">
        <v>0</v>
      </c>
      <c r="R142" s="129">
        <v>0</v>
      </c>
      <c r="S142" s="129">
        <v>0</v>
      </c>
      <c r="T142" s="131"/>
      <c r="U142" s="126"/>
      <c r="V142" s="126"/>
      <c r="W142" s="126"/>
      <c r="X142" s="230"/>
      <c r="Y142" s="132"/>
    </row>
    <row r="143" spans="1:25" s="122" customFormat="1" ht="78.75" customHeight="1">
      <c r="A143" s="226" t="s">
        <v>168</v>
      </c>
      <c r="B143" s="223"/>
      <c r="C143" s="224"/>
      <c r="D143" s="229"/>
      <c r="E143" s="230"/>
      <c r="F143" s="127"/>
      <c r="G143" s="230"/>
      <c r="H143" s="128"/>
      <c r="I143" s="230"/>
      <c r="J143" s="128"/>
      <c r="K143" s="127"/>
      <c r="L143" s="127"/>
      <c r="M143" s="127"/>
      <c r="N143" s="127"/>
      <c r="O143" s="129"/>
      <c r="P143" s="128">
        <v>4200</v>
      </c>
      <c r="Q143" s="130"/>
      <c r="R143" s="129"/>
      <c r="S143" s="129"/>
      <c r="T143" s="131"/>
      <c r="U143" s="126"/>
      <c r="V143" s="126"/>
      <c r="W143" s="126"/>
      <c r="X143" s="230"/>
      <c r="Y143" s="132"/>
    </row>
    <row r="144" spans="1:25" s="122" customFormat="1" ht="44.25">
      <c r="A144" s="157" t="s">
        <v>169</v>
      </c>
      <c r="B144" s="220">
        <v>4000</v>
      </c>
      <c r="C144" s="137">
        <v>18813.7</v>
      </c>
      <c r="D144" s="137">
        <f>SUM(D145:D148)</f>
        <v>110868.5</v>
      </c>
      <c r="E144" s="139">
        <f>SUM(E145:E148)</f>
        <v>61122.7</v>
      </c>
      <c r="F144" s="139">
        <f>SUM(F145:F148)</f>
        <v>10540.3</v>
      </c>
      <c r="G144" s="139">
        <f>SUM(G145:G148)</f>
        <v>34363.6</v>
      </c>
      <c r="H144" s="139">
        <f>SUM(H145:H148)</f>
        <v>10607.5</v>
      </c>
      <c r="I144" s="139">
        <f>SUM(I145:I148)</f>
        <v>13963.4</v>
      </c>
      <c r="J144" s="139">
        <f>SUM(J145:J148)</f>
        <v>13726.5</v>
      </c>
      <c r="K144" s="139">
        <f>SUM(K145:K148)</f>
        <v>0</v>
      </c>
      <c r="L144" s="139">
        <f>SUM(L145:L148)</f>
        <v>21683.3</v>
      </c>
      <c r="M144" s="139">
        <f>SUM(M145:M148)</f>
        <v>0</v>
      </c>
      <c r="N144" s="139">
        <f>SUM(N145:N148)</f>
        <v>10375.2</v>
      </c>
      <c r="O144" s="138">
        <f>SUM(O145:O148)</f>
        <v>0</v>
      </c>
      <c r="P144" s="139">
        <f>SUM(P145:P148)</f>
        <v>32934</v>
      </c>
      <c r="Q144" s="140">
        <f>SUM(Q145:Q148)</f>
        <v>34363.6</v>
      </c>
      <c r="R144" s="141">
        <f aca="true" t="shared" si="35" ref="R144:R148">Q144-P144</f>
        <v>1429.5999999999985</v>
      </c>
      <c r="S144" s="141">
        <f>Q144/P144%</f>
        <v>104.34080281775672</v>
      </c>
      <c r="T144" s="131"/>
      <c r="U144" s="142">
        <f>SUM(U145:U148)</f>
        <v>6136.2</v>
      </c>
      <c r="V144" s="142">
        <f>SUM(V145:V148)</f>
        <v>6219.1</v>
      </c>
      <c r="W144" s="142">
        <f>SUM(W145:W148)</f>
        <v>3572.2</v>
      </c>
      <c r="X144" s="143">
        <f>SUM(X145:X148)</f>
        <v>45195.2</v>
      </c>
      <c r="Y144" s="143">
        <f>SUM(Y145:Y148)</f>
        <v>61122.7</v>
      </c>
    </row>
    <row r="145" spans="1:25" s="122" customFormat="1" ht="24">
      <c r="A145" s="181" t="s">
        <v>170</v>
      </c>
      <c r="B145" s="233" t="s">
        <v>171</v>
      </c>
      <c r="C145" s="125">
        <v>0</v>
      </c>
      <c r="D145" s="125">
        <v>0</v>
      </c>
      <c r="E145" s="126">
        <v>0</v>
      </c>
      <c r="F145" s="127">
        <v>0</v>
      </c>
      <c r="G145" s="127">
        <v>0</v>
      </c>
      <c r="H145" s="127">
        <v>0</v>
      </c>
      <c r="I145" s="127">
        <v>0</v>
      </c>
      <c r="J145" s="127">
        <v>0</v>
      </c>
      <c r="K145" s="127">
        <v>0</v>
      </c>
      <c r="L145" s="127"/>
      <c r="M145" s="127"/>
      <c r="N145" s="127"/>
      <c r="O145" s="129"/>
      <c r="P145" s="127">
        <v>0</v>
      </c>
      <c r="Q145" s="130">
        <f>E145-I145-K145-M145</f>
        <v>0</v>
      </c>
      <c r="R145" s="129">
        <f t="shared" si="35"/>
        <v>0</v>
      </c>
      <c r="S145" s="129">
        <v>0</v>
      </c>
      <c r="T145" s="131"/>
      <c r="U145" s="126">
        <v>0</v>
      </c>
      <c r="V145" s="126">
        <v>0</v>
      </c>
      <c r="W145" s="126"/>
      <c r="X145" s="127"/>
      <c r="Y145" s="132">
        <f>U145+V145+W145+X145</f>
        <v>0</v>
      </c>
    </row>
    <row r="146" spans="1:25" s="122" customFormat="1" ht="44.25">
      <c r="A146" s="234" t="s">
        <v>172</v>
      </c>
      <c r="B146" s="220" t="s">
        <v>173</v>
      </c>
      <c r="C146" s="161">
        <v>317.5</v>
      </c>
      <c r="D146" s="161">
        <f>D115</f>
        <v>110868.5</v>
      </c>
      <c r="E146" s="162">
        <f>E115</f>
        <v>61122.7</v>
      </c>
      <c r="F146" s="162">
        <f>F115</f>
        <v>10540.3</v>
      </c>
      <c r="G146" s="162">
        <f>G115</f>
        <v>34363.6</v>
      </c>
      <c r="H146" s="162">
        <f>H115</f>
        <v>10607.5</v>
      </c>
      <c r="I146" s="162">
        <f>I115</f>
        <v>13963.4</v>
      </c>
      <c r="J146" s="162">
        <f>J115</f>
        <v>13726.5</v>
      </c>
      <c r="K146" s="162">
        <f>K115</f>
        <v>0</v>
      </c>
      <c r="L146" s="162">
        <f>L115</f>
        <v>21683.3</v>
      </c>
      <c r="M146" s="162">
        <f>M115</f>
        <v>0</v>
      </c>
      <c r="N146" s="162">
        <f>N115</f>
        <v>10375.2</v>
      </c>
      <c r="O146" s="141">
        <f>O115</f>
        <v>0</v>
      </c>
      <c r="P146" s="162">
        <f>P115</f>
        <v>32934</v>
      </c>
      <c r="Q146" s="163">
        <v>34363.6</v>
      </c>
      <c r="R146" s="141">
        <f t="shared" si="35"/>
        <v>1429.5999999999985</v>
      </c>
      <c r="S146" s="141">
        <f>Q146/P146%</f>
        <v>104.34080281775672</v>
      </c>
      <c r="T146" s="131"/>
      <c r="U146" s="126">
        <f>U115</f>
        <v>6136.2</v>
      </c>
      <c r="V146" s="126">
        <f>V115</f>
        <v>6219.1</v>
      </c>
      <c r="W146" s="126">
        <f>W115</f>
        <v>3572.2</v>
      </c>
      <c r="X146" s="127">
        <v>45195.2</v>
      </c>
      <c r="Y146" s="127">
        <f>Y115</f>
        <v>61122.7</v>
      </c>
    </row>
    <row r="147" spans="1:25" s="122" customFormat="1" ht="24">
      <c r="A147" s="181" t="s">
        <v>174</v>
      </c>
      <c r="B147" s="233" t="s">
        <v>175</v>
      </c>
      <c r="C147" s="125">
        <v>0</v>
      </c>
      <c r="D147" s="125">
        <v>0</v>
      </c>
      <c r="E147" s="126">
        <v>0</v>
      </c>
      <c r="F147" s="127">
        <v>0</v>
      </c>
      <c r="G147" s="127">
        <v>0</v>
      </c>
      <c r="H147" s="127">
        <v>0</v>
      </c>
      <c r="I147" s="127">
        <v>0</v>
      </c>
      <c r="J147" s="127">
        <v>0</v>
      </c>
      <c r="K147" s="127">
        <v>0</v>
      </c>
      <c r="L147" s="127"/>
      <c r="M147" s="127"/>
      <c r="N147" s="127"/>
      <c r="O147" s="129"/>
      <c r="P147" s="127">
        <v>0</v>
      </c>
      <c r="Q147" s="130">
        <f aca="true" t="shared" si="36" ref="Q147:Q148">E147-I147-K147-M147</f>
        <v>0</v>
      </c>
      <c r="R147" s="129">
        <f t="shared" si="35"/>
        <v>0</v>
      </c>
      <c r="S147" s="129">
        <v>0</v>
      </c>
      <c r="T147" s="131"/>
      <c r="U147" s="126">
        <v>0</v>
      </c>
      <c r="V147" s="126">
        <v>0</v>
      </c>
      <c r="W147" s="126"/>
      <c r="X147" s="127"/>
      <c r="Y147" s="132">
        <f aca="true" t="shared" si="37" ref="Y147:Y149">U147+V147+W147+X147</f>
        <v>0</v>
      </c>
    </row>
    <row r="148" spans="1:25" s="122" customFormat="1" ht="24">
      <c r="A148" s="235" t="s">
        <v>176</v>
      </c>
      <c r="B148" s="236" t="s">
        <v>177</v>
      </c>
      <c r="C148" s="237">
        <v>0</v>
      </c>
      <c r="D148" s="237">
        <v>0</v>
      </c>
      <c r="E148" s="238">
        <v>0</v>
      </c>
      <c r="F148" s="239">
        <v>0</v>
      </c>
      <c r="G148" s="239">
        <v>0</v>
      </c>
      <c r="H148" s="239">
        <v>0</v>
      </c>
      <c r="I148" s="239">
        <v>0</v>
      </c>
      <c r="J148" s="239">
        <v>0</v>
      </c>
      <c r="K148" s="239">
        <v>0</v>
      </c>
      <c r="L148" s="239"/>
      <c r="M148" s="239"/>
      <c r="N148" s="239"/>
      <c r="O148" s="240"/>
      <c r="P148" s="239">
        <v>0</v>
      </c>
      <c r="Q148" s="130">
        <f t="shared" si="36"/>
        <v>0</v>
      </c>
      <c r="R148" s="129">
        <f t="shared" si="35"/>
        <v>0</v>
      </c>
      <c r="S148" s="129">
        <v>0</v>
      </c>
      <c r="T148" s="131"/>
      <c r="U148" s="238">
        <v>0</v>
      </c>
      <c r="V148" s="238">
        <v>0</v>
      </c>
      <c r="W148" s="238"/>
      <c r="X148" s="239"/>
      <c r="Y148" s="132">
        <f t="shared" si="37"/>
        <v>0</v>
      </c>
    </row>
    <row r="149" spans="1:25" s="122" customFormat="1" ht="24" customHeight="1">
      <c r="A149" s="241" t="s">
        <v>178</v>
      </c>
      <c r="B149" s="241"/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131"/>
      <c r="U149" s="242"/>
      <c r="V149" s="242"/>
      <c r="W149" s="242"/>
      <c r="X149" s="243"/>
      <c r="Y149" s="132">
        <f t="shared" si="37"/>
        <v>0</v>
      </c>
    </row>
    <row r="150" spans="1:25" s="122" customFormat="1" ht="45.75">
      <c r="A150" s="244" t="s">
        <v>179</v>
      </c>
      <c r="B150" s="245">
        <v>5040</v>
      </c>
      <c r="C150" s="201">
        <v>-13.4</v>
      </c>
      <c r="D150" s="246">
        <f>D59/D68*100</f>
        <v>-10.585020215045866</v>
      </c>
      <c r="E150" s="247">
        <f>E59/E68*100</f>
        <v>-11.545476935633285</v>
      </c>
      <c r="F150" s="248">
        <f>F59/F68*100</f>
        <v>-8.032533116478064</v>
      </c>
      <c r="G150" s="247">
        <f>G59/G68*100</f>
        <v>-10.398226488773178</v>
      </c>
      <c r="H150" s="247">
        <f>H59/H68*100</f>
        <v>-4.611742635728164</v>
      </c>
      <c r="I150" s="247">
        <f>I59/I68*100</f>
        <v>-29.992109772786108</v>
      </c>
      <c r="J150" s="248">
        <f>J59/J68*100</f>
        <v>9.751048232256073</v>
      </c>
      <c r="K150" s="248" t="e">
        <f>K59/K68*100</f>
        <v>#DIV/0!</v>
      </c>
      <c r="L150" s="248">
        <f>L59/L68*100</f>
        <v>-13.338453034034927</v>
      </c>
      <c r="M150" s="248" t="e">
        <f>M59/M68*100</f>
        <v>#DIV/0!</v>
      </c>
      <c r="N150" s="248">
        <f>N59/N68*100</f>
        <v>-28.347237617408556</v>
      </c>
      <c r="O150" s="248" t="e">
        <f>O59/O68*100</f>
        <v>#DIV/0!</v>
      </c>
      <c r="P150" s="249">
        <v>0</v>
      </c>
      <c r="Q150" s="250">
        <f>Q59/Q68*100</f>
        <v>-10.398226488773178</v>
      </c>
      <c r="R150" s="162">
        <f aca="true" t="shared" si="38" ref="R150:R154">Q150-P150</f>
        <v>-10.398226488773178</v>
      </c>
      <c r="S150" s="141">
        <v>0</v>
      </c>
      <c r="T150" s="131"/>
      <c r="U150" s="196">
        <v>-13.6</v>
      </c>
      <c r="V150" s="196">
        <v>-8</v>
      </c>
      <c r="W150" s="196"/>
      <c r="X150" s="249">
        <f>X59/X68*100</f>
        <v>-3.445477821150053</v>
      </c>
      <c r="Y150" s="249">
        <f>Y59/Y68*100</f>
        <v>-11.545476935633298</v>
      </c>
    </row>
    <row r="151" spans="1:25" s="122" customFormat="1" ht="24" hidden="1">
      <c r="A151" s="251" t="s">
        <v>180</v>
      </c>
      <c r="B151" s="180">
        <v>5020</v>
      </c>
      <c r="C151" s="125"/>
      <c r="D151" s="125"/>
      <c r="E151" s="133"/>
      <c r="F151" s="252"/>
      <c r="G151" s="213"/>
      <c r="H151" s="127"/>
      <c r="I151" s="127"/>
      <c r="J151" s="126"/>
      <c r="K151" s="126"/>
      <c r="L151" s="126"/>
      <c r="M151" s="126"/>
      <c r="N151" s="126"/>
      <c r="O151" s="133"/>
      <c r="P151" s="127"/>
      <c r="Q151" s="213"/>
      <c r="R151" s="129">
        <f t="shared" si="38"/>
        <v>0</v>
      </c>
      <c r="S151" s="129" t="e">
        <f aca="true" t="shared" si="39" ref="S151:S154">Q151/P151%</f>
        <v>#DIV/0!</v>
      </c>
      <c r="T151" s="131"/>
      <c r="U151" s="126"/>
      <c r="V151" s="126"/>
      <c r="W151" s="126"/>
      <c r="X151" s="127"/>
      <c r="Y151" s="127"/>
    </row>
    <row r="152" spans="1:25" s="122" customFormat="1" ht="24" hidden="1">
      <c r="A152" s="204" t="s">
        <v>181</v>
      </c>
      <c r="B152" s="97">
        <v>5030</v>
      </c>
      <c r="C152" s="182"/>
      <c r="D152" s="182"/>
      <c r="E152" s="183"/>
      <c r="F152" s="253"/>
      <c r="G152" s="254"/>
      <c r="H152" s="155"/>
      <c r="I152" s="155"/>
      <c r="J152" s="184"/>
      <c r="K152" s="184"/>
      <c r="L152" s="184"/>
      <c r="M152" s="184"/>
      <c r="N152" s="184"/>
      <c r="O152" s="183"/>
      <c r="P152" s="155"/>
      <c r="Q152" s="254"/>
      <c r="R152" s="129">
        <f t="shared" si="38"/>
        <v>0</v>
      </c>
      <c r="S152" s="129" t="e">
        <f t="shared" si="39"/>
        <v>#DIV/0!</v>
      </c>
      <c r="T152" s="131"/>
      <c r="U152" s="184"/>
      <c r="V152" s="184"/>
      <c r="W152" s="184"/>
      <c r="X152" s="155"/>
      <c r="Y152" s="155"/>
    </row>
    <row r="153" spans="1:25" s="122" customFormat="1" ht="24" hidden="1">
      <c r="A153" s="255" t="s">
        <v>182</v>
      </c>
      <c r="B153" s="212">
        <v>5110</v>
      </c>
      <c r="C153" s="256"/>
      <c r="D153" s="256"/>
      <c r="E153" s="257"/>
      <c r="F153" s="258"/>
      <c r="G153" s="259"/>
      <c r="H153" s="260"/>
      <c r="I153" s="260"/>
      <c r="J153" s="261"/>
      <c r="K153" s="261"/>
      <c r="L153" s="261"/>
      <c r="M153" s="261"/>
      <c r="N153" s="261"/>
      <c r="O153" s="257"/>
      <c r="P153" s="260"/>
      <c r="Q153" s="259"/>
      <c r="R153" s="129">
        <f t="shared" si="38"/>
        <v>0</v>
      </c>
      <c r="S153" s="129" t="e">
        <f t="shared" si="39"/>
        <v>#DIV/0!</v>
      </c>
      <c r="T153" s="131"/>
      <c r="U153" s="261"/>
      <c r="V153" s="261"/>
      <c r="W153" s="261"/>
      <c r="X153" s="260"/>
      <c r="Y153" s="260"/>
    </row>
    <row r="154" spans="1:25" s="122" customFormat="1" ht="24" hidden="1">
      <c r="A154" s="262" t="s">
        <v>183</v>
      </c>
      <c r="B154" s="263">
        <v>5220</v>
      </c>
      <c r="C154" s="237"/>
      <c r="D154" s="237"/>
      <c r="E154" s="264"/>
      <c r="F154" s="265"/>
      <c r="G154" s="266"/>
      <c r="H154" s="239"/>
      <c r="I154" s="239"/>
      <c r="J154" s="238"/>
      <c r="K154" s="238"/>
      <c r="L154" s="238"/>
      <c r="M154" s="238"/>
      <c r="N154" s="238"/>
      <c r="O154" s="264"/>
      <c r="P154" s="239"/>
      <c r="Q154" s="266"/>
      <c r="R154" s="129">
        <f t="shared" si="38"/>
        <v>0</v>
      </c>
      <c r="S154" s="129" t="e">
        <f t="shared" si="39"/>
        <v>#DIV/0!</v>
      </c>
      <c r="T154" s="131"/>
      <c r="U154" s="238"/>
      <c r="V154" s="238"/>
      <c r="W154" s="238"/>
      <c r="X154" s="239"/>
      <c r="Y154" s="239"/>
    </row>
    <row r="155" spans="1:25" s="122" customFormat="1" ht="24" customHeight="1">
      <c r="A155" s="119" t="s">
        <v>184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31"/>
      <c r="U155" s="174"/>
      <c r="V155" s="174"/>
      <c r="W155" s="174"/>
      <c r="X155" s="175"/>
      <c r="Y155" s="132">
        <f aca="true" t="shared" si="40" ref="Y155:Y161">U155+V155+W155+X155</f>
        <v>0</v>
      </c>
    </row>
    <row r="156" spans="1:25" s="122" customFormat="1" ht="44.25">
      <c r="A156" s="251" t="s">
        <v>185</v>
      </c>
      <c r="B156" s="180">
        <v>6000</v>
      </c>
      <c r="C156" s="125">
        <v>43979.8</v>
      </c>
      <c r="D156" s="125">
        <v>49492.9</v>
      </c>
      <c r="E156" s="126">
        <v>149779.4</v>
      </c>
      <c r="F156" s="127">
        <v>103745.2</v>
      </c>
      <c r="G156" s="127">
        <v>137771</v>
      </c>
      <c r="H156" s="127">
        <v>0</v>
      </c>
      <c r="I156" s="127">
        <v>141492.9</v>
      </c>
      <c r="J156" s="126">
        <v>0</v>
      </c>
      <c r="K156" s="126"/>
      <c r="L156" s="126"/>
      <c r="M156" s="126"/>
      <c r="N156" s="126"/>
      <c r="O156" s="133"/>
      <c r="P156" s="127">
        <v>0</v>
      </c>
      <c r="Q156" s="267" t="s">
        <v>186</v>
      </c>
      <c r="R156" s="268">
        <f aca="true" t="shared" si="41" ref="R156:R164">E156-D156</f>
        <v>100286.5</v>
      </c>
      <c r="S156" s="129">
        <v>0</v>
      </c>
      <c r="T156" s="131"/>
      <c r="U156" s="126">
        <v>106793.7</v>
      </c>
      <c r="V156" s="126"/>
      <c r="W156" s="126"/>
      <c r="X156" s="127"/>
      <c r="Y156" s="132">
        <f t="shared" si="40"/>
        <v>106793.7</v>
      </c>
    </row>
    <row r="157" spans="1:25" s="122" customFormat="1" ht="44.25">
      <c r="A157" s="251" t="s">
        <v>187</v>
      </c>
      <c r="B157" s="180">
        <v>6001</v>
      </c>
      <c r="C157" s="182">
        <v>39851.2</v>
      </c>
      <c r="D157" s="182">
        <v>46516.8</v>
      </c>
      <c r="E157" s="184">
        <v>142552.3</v>
      </c>
      <c r="F157" s="155">
        <v>95201.9</v>
      </c>
      <c r="G157" s="155">
        <v>134469.5</v>
      </c>
      <c r="H157" s="155">
        <f>H158-H159</f>
        <v>0</v>
      </c>
      <c r="I157" s="155">
        <v>137902.3</v>
      </c>
      <c r="J157" s="184">
        <f>J158-J159</f>
        <v>0</v>
      </c>
      <c r="K157" s="184"/>
      <c r="L157" s="184"/>
      <c r="M157" s="184"/>
      <c r="N157" s="184"/>
      <c r="O157" s="183"/>
      <c r="P157" s="155">
        <f>P158-P159</f>
        <v>0</v>
      </c>
      <c r="Q157" s="267" t="s">
        <v>186</v>
      </c>
      <c r="R157" s="268">
        <f t="shared" si="41"/>
        <v>96035.49999999999</v>
      </c>
      <c r="S157" s="129">
        <v>0</v>
      </c>
      <c r="T157" s="131"/>
      <c r="U157" s="184">
        <v>99698.4</v>
      </c>
      <c r="V157" s="184"/>
      <c r="W157" s="184"/>
      <c r="X157" s="155"/>
      <c r="Y157" s="132">
        <f t="shared" si="40"/>
        <v>99698.4</v>
      </c>
    </row>
    <row r="158" spans="1:25" s="122" customFormat="1" ht="24">
      <c r="A158" s="251" t="s">
        <v>188</v>
      </c>
      <c r="B158" s="180">
        <v>6002</v>
      </c>
      <c r="C158" s="125">
        <v>206</v>
      </c>
      <c r="D158" s="125">
        <v>273.3</v>
      </c>
      <c r="E158" s="126">
        <v>341</v>
      </c>
      <c r="F158" s="127">
        <v>336</v>
      </c>
      <c r="G158" s="127">
        <v>241987.2</v>
      </c>
      <c r="H158" s="127">
        <v>0</v>
      </c>
      <c r="I158" s="127">
        <v>353.1</v>
      </c>
      <c r="J158" s="126">
        <v>0</v>
      </c>
      <c r="K158" s="126"/>
      <c r="L158" s="126"/>
      <c r="M158" s="126"/>
      <c r="N158" s="126"/>
      <c r="O158" s="133"/>
      <c r="P158" s="127">
        <v>0</v>
      </c>
      <c r="Q158" s="267" t="s">
        <v>186</v>
      </c>
      <c r="R158" s="268">
        <f t="shared" si="41"/>
        <v>67.69999999999999</v>
      </c>
      <c r="S158" s="129">
        <v>0</v>
      </c>
      <c r="T158" s="131"/>
      <c r="U158" s="126">
        <v>296</v>
      </c>
      <c r="V158" s="126"/>
      <c r="W158" s="126"/>
      <c r="X158" s="127"/>
      <c r="Y158" s="132">
        <f t="shared" si="40"/>
        <v>296</v>
      </c>
    </row>
    <row r="159" spans="1:25" s="122" customFormat="1" ht="44.25">
      <c r="A159" s="251" t="s">
        <v>189</v>
      </c>
      <c r="B159" s="180">
        <v>6003</v>
      </c>
      <c r="C159" s="125">
        <v>61343.7</v>
      </c>
      <c r="D159" s="125">
        <v>73113.5</v>
      </c>
      <c r="E159" s="126">
        <v>90044.2</v>
      </c>
      <c r="F159" s="127">
        <v>83110.3</v>
      </c>
      <c r="G159" s="127">
        <v>107517.7</v>
      </c>
      <c r="H159" s="127">
        <v>0</v>
      </c>
      <c r="I159" s="127">
        <v>101641.1</v>
      </c>
      <c r="J159" s="126">
        <v>0</v>
      </c>
      <c r="K159" s="126"/>
      <c r="L159" s="126"/>
      <c r="M159" s="126"/>
      <c r="N159" s="126"/>
      <c r="O159" s="133"/>
      <c r="P159" s="127">
        <v>0</v>
      </c>
      <c r="Q159" s="267" t="s">
        <v>186</v>
      </c>
      <c r="R159" s="268">
        <f t="shared" si="41"/>
        <v>16930.699999999997</v>
      </c>
      <c r="S159" s="129">
        <v>0</v>
      </c>
      <c r="T159" s="131"/>
      <c r="U159" s="126">
        <v>80551.4</v>
      </c>
      <c r="V159" s="126"/>
      <c r="W159" s="126"/>
      <c r="X159" s="127"/>
      <c r="Y159" s="132">
        <f t="shared" si="40"/>
        <v>80551.4</v>
      </c>
    </row>
    <row r="160" spans="1:25" s="122" customFormat="1" ht="44.25">
      <c r="A160" s="204" t="s">
        <v>190</v>
      </c>
      <c r="B160" s="97">
        <v>6010</v>
      </c>
      <c r="C160" s="125">
        <v>18847.4</v>
      </c>
      <c r="D160" s="125">
        <v>17570.2</v>
      </c>
      <c r="E160" s="126">
        <v>22795.4</v>
      </c>
      <c r="F160" s="127">
        <v>19835.2</v>
      </c>
      <c r="G160" s="127">
        <v>30245.5</v>
      </c>
      <c r="H160" s="127">
        <v>0</v>
      </c>
      <c r="I160" s="127">
        <v>23849.3</v>
      </c>
      <c r="J160" s="126">
        <v>0</v>
      </c>
      <c r="K160" s="126"/>
      <c r="L160" s="126"/>
      <c r="M160" s="126"/>
      <c r="N160" s="126"/>
      <c r="O160" s="133"/>
      <c r="P160" s="127">
        <v>0</v>
      </c>
      <c r="Q160" s="267" t="s">
        <v>186</v>
      </c>
      <c r="R160" s="268">
        <f t="shared" si="41"/>
        <v>5225.200000000001</v>
      </c>
      <c r="S160" s="129">
        <v>0</v>
      </c>
      <c r="T160" s="131"/>
      <c r="U160" s="126">
        <v>19798.5</v>
      </c>
      <c r="V160" s="126"/>
      <c r="W160" s="126"/>
      <c r="X160" s="127"/>
      <c r="Y160" s="132">
        <f t="shared" si="40"/>
        <v>19798.5</v>
      </c>
    </row>
    <row r="161" spans="1:25" s="122" customFormat="1" ht="44.25">
      <c r="A161" s="204" t="s">
        <v>191</v>
      </c>
      <c r="B161" s="97">
        <v>6011</v>
      </c>
      <c r="C161" s="125">
        <v>49.2</v>
      </c>
      <c r="D161" s="125">
        <v>157.3</v>
      </c>
      <c r="E161" s="126">
        <v>1870.9</v>
      </c>
      <c r="F161" s="127">
        <v>1165.4</v>
      </c>
      <c r="G161" s="127">
        <v>2184.9</v>
      </c>
      <c r="H161" s="127">
        <v>0</v>
      </c>
      <c r="I161" s="127">
        <v>423.4</v>
      </c>
      <c r="J161" s="126">
        <v>0</v>
      </c>
      <c r="K161" s="126"/>
      <c r="L161" s="126"/>
      <c r="M161" s="126"/>
      <c r="N161" s="126"/>
      <c r="O161" s="133"/>
      <c r="P161" s="127">
        <v>0</v>
      </c>
      <c r="Q161" s="267" t="s">
        <v>186</v>
      </c>
      <c r="R161" s="268">
        <f t="shared" si="41"/>
        <v>1713.6000000000001</v>
      </c>
      <c r="S161" s="129">
        <v>0</v>
      </c>
      <c r="T161" s="131"/>
      <c r="U161" s="126">
        <v>764.8</v>
      </c>
      <c r="V161" s="126"/>
      <c r="W161" s="126"/>
      <c r="X161" s="127"/>
      <c r="Y161" s="132">
        <f t="shared" si="40"/>
        <v>764.8</v>
      </c>
    </row>
    <row r="162" spans="1:25" s="122" customFormat="1" ht="44.25">
      <c r="A162" s="157" t="s">
        <v>192</v>
      </c>
      <c r="B162" s="159">
        <v>6020</v>
      </c>
      <c r="C162" s="201">
        <f>C156+C160</f>
        <v>62827.200000000004</v>
      </c>
      <c r="D162" s="201">
        <f>D156+D160</f>
        <v>67063.1</v>
      </c>
      <c r="E162" s="203">
        <f>E156+E160</f>
        <v>172574.8</v>
      </c>
      <c r="F162" s="203">
        <f>F156+F160</f>
        <v>123580.4</v>
      </c>
      <c r="G162" s="203">
        <f>G156+G160</f>
        <v>168016.5</v>
      </c>
      <c r="H162" s="203">
        <v>0</v>
      </c>
      <c r="I162" s="203">
        <f>I156+I160</f>
        <v>165342.19999999998</v>
      </c>
      <c r="J162" s="203">
        <f>J156+J160</f>
        <v>0</v>
      </c>
      <c r="K162" s="203">
        <f>K156+K160</f>
        <v>0</v>
      </c>
      <c r="L162" s="203">
        <f>L156+L160</f>
        <v>0</v>
      </c>
      <c r="M162" s="203">
        <f>M156+M160</f>
        <v>0</v>
      </c>
      <c r="N162" s="203">
        <f>N156+N160</f>
        <v>0</v>
      </c>
      <c r="O162" s="202">
        <f>O156+O160</f>
        <v>0</v>
      </c>
      <c r="P162" s="203">
        <v>0</v>
      </c>
      <c r="Q162" s="269" t="s">
        <v>186</v>
      </c>
      <c r="R162" s="270">
        <f t="shared" si="41"/>
        <v>105511.69999999998</v>
      </c>
      <c r="S162" s="141">
        <v>0</v>
      </c>
      <c r="T162" s="131"/>
      <c r="U162" s="196">
        <f>U156+U160</f>
        <v>126592.2</v>
      </c>
      <c r="V162" s="196">
        <f>V156+V160</f>
        <v>0</v>
      </c>
      <c r="W162" s="196">
        <f>W156+W160</f>
        <v>0</v>
      </c>
      <c r="X162" s="197">
        <f>X156+X160</f>
        <v>0</v>
      </c>
      <c r="Y162" s="197">
        <f>Y156+Y160</f>
        <v>126592.2</v>
      </c>
    </row>
    <row r="163" spans="1:25" s="122" customFormat="1" ht="44.25">
      <c r="A163" s="204" t="s">
        <v>193</v>
      </c>
      <c r="B163" s="97">
        <v>6030</v>
      </c>
      <c r="C163" s="125">
        <v>1744.8</v>
      </c>
      <c r="D163" s="125">
        <v>920.9</v>
      </c>
      <c r="E163" s="126">
        <v>1328.1</v>
      </c>
      <c r="F163" s="127">
        <v>1914</v>
      </c>
      <c r="G163" s="127">
        <v>8983.9</v>
      </c>
      <c r="H163" s="127">
        <v>0</v>
      </c>
      <c r="I163" s="127">
        <v>2656.1</v>
      </c>
      <c r="J163" s="126">
        <v>0</v>
      </c>
      <c r="K163" s="126"/>
      <c r="L163" s="126"/>
      <c r="M163" s="126"/>
      <c r="N163" s="126"/>
      <c r="O163" s="133"/>
      <c r="P163" s="127">
        <v>0</v>
      </c>
      <c r="Q163" s="267" t="s">
        <v>186</v>
      </c>
      <c r="R163" s="268">
        <f t="shared" si="41"/>
        <v>407.19999999999993</v>
      </c>
      <c r="S163" s="129">
        <v>0</v>
      </c>
      <c r="T163" s="131"/>
      <c r="U163" s="126">
        <v>2016.7</v>
      </c>
      <c r="V163" s="126"/>
      <c r="W163" s="126"/>
      <c r="X163" s="127"/>
      <c r="Y163" s="132">
        <f aca="true" t="shared" si="42" ref="Y163:Y164">U163+V163+W163+X163</f>
        <v>2016.7</v>
      </c>
    </row>
    <row r="164" spans="1:25" s="122" customFormat="1" ht="44.25">
      <c r="A164" s="204" t="s">
        <v>194</v>
      </c>
      <c r="B164" s="97">
        <v>6040</v>
      </c>
      <c r="C164" s="125">
        <v>29061</v>
      </c>
      <c r="D164" s="125">
        <v>30853.4</v>
      </c>
      <c r="E164" s="126">
        <v>47730.6</v>
      </c>
      <c r="F164" s="127">
        <v>32548.6</v>
      </c>
      <c r="G164" s="127">
        <v>57058.7</v>
      </c>
      <c r="H164" s="127">
        <v>0</v>
      </c>
      <c r="I164" s="127">
        <v>60978.8</v>
      </c>
      <c r="J164" s="126">
        <v>0</v>
      </c>
      <c r="K164" s="126"/>
      <c r="L164" s="126"/>
      <c r="M164" s="126"/>
      <c r="N164" s="126"/>
      <c r="O164" s="133"/>
      <c r="P164" s="127">
        <v>0</v>
      </c>
      <c r="Q164" s="267" t="s">
        <v>186</v>
      </c>
      <c r="R164" s="268">
        <f t="shared" si="41"/>
        <v>16877.199999999997</v>
      </c>
      <c r="S164" s="129">
        <v>0</v>
      </c>
      <c r="T164" s="131"/>
      <c r="U164" s="126">
        <v>35019.4</v>
      </c>
      <c r="V164" s="126"/>
      <c r="W164" s="126"/>
      <c r="X164" s="127"/>
      <c r="Y164" s="132">
        <f t="shared" si="42"/>
        <v>35019.4</v>
      </c>
    </row>
    <row r="165" spans="1:25" s="122" customFormat="1" ht="44.25">
      <c r="A165" s="157" t="s">
        <v>195</v>
      </c>
      <c r="B165" s="159">
        <v>6050</v>
      </c>
      <c r="C165" s="137">
        <f>SUM(C163:C164)</f>
        <v>30805.8</v>
      </c>
      <c r="D165" s="137">
        <f>SUM(D163:D164)</f>
        <v>31774.300000000003</v>
      </c>
      <c r="E165" s="138">
        <f>SUM(E163:E164)</f>
        <v>49058.7</v>
      </c>
      <c r="F165" s="139">
        <f>SUM(F163:F164)</f>
        <v>34462.6</v>
      </c>
      <c r="G165" s="139">
        <f>SUM(G163:G164)</f>
        <v>66042.59999999999</v>
      </c>
      <c r="H165" s="139">
        <f>SUM(H163:H164)</f>
        <v>0</v>
      </c>
      <c r="I165" s="139">
        <f>SUM(I163:I164)</f>
        <v>63634.9</v>
      </c>
      <c r="J165" s="139">
        <f>SUM(J163:J164)</f>
        <v>0</v>
      </c>
      <c r="K165" s="139">
        <f>SUM(K163:K164)</f>
        <v>0</v>
      </c>
      <c r="L165" s="139">
        <f>SUM(L163:L164)</f>
        <v>0</v>
      </c>
      <c r="M165" s="139">
        <f>SUM(M163:M164)</f>
        <v>0</v>
      </c>
      <c r="N165" s="139">
        <f>SUM(N163:N164)</f>
        <v>0</v>
      </c>
      <c r="O165" s="138">
        <f>SUM(O163:O164)</f>
        <v>0</v>
      </c>
      <c r="P165" s="139">
        <f>SUM(P163:P164)</f>
        <v>0</v>
      </c>
      <c r="Q165" s="269" t="s">
        <v>186</v>
      </c>
      <c r="R165" s="138">
        <f>SUM(R163:R164)</f>
        <v>17284.399999999998</v>
      </c>
      <c r="S165" s="141">
        <v>0</v>
      </c>
      <c r="T165" s="131"/>
      <c r="U165" s="142">
        <f>SUM(U163:U164)</f>
        <v>37036.1</v>
      </c>
      <c r="V165" s="142">
        <f>SUM(V163:V164)</f>
        <v>0</v>
      </c>
      <c r="W165" s="142">
        <f>SUM(W163:W164)</f>
        <v>0</v>
      </c>
      <c r="X165" s="143">
        <f>SUM(X163:X164)</f>
        <v>0</v>
      </c>
      <c r="Y165" s="143">
        <f>SUM(Y163:Y164)</f>
        <v>37036.1</v>
      </c>
    </row>
    <row r="166" spans="1:25" s="122" customFormat="1" ht="24">
      <c r="A166" s="204" t="s">
        <v>196</v>
      </c>
      <c r="B166" s="97">
        <v>6060</v>
      </c>
      <c r="C166" s="125">
        <v>0</v>
      </c>
      <c r="D166" s="125">
        <v>0</v>
      </c>
      <c r="E166" s="133">
        <v>0</v>
      </c>
      <c r="F166" s="127">
        <v>0</v>
      </c>
      <c r="G166" s="127">
        <v>0</v>
      </c>
      <c r="H166" s="127">
        <v>0</v>
      </c>
      <c r="I166" s="127">
        <v>0</v>
      </c>
      <c r="J166" s="126">
        <v>0</v>
      </c>
      <c r="K166" s="126"/>
      <c r="L166" s="126"/>
      <c r="M166" s="126"/>
      <c r="N166" s="126"/>
      <c r="O166" s="133"/>
      <c r="P166" s="127">
        <v>0</v>
      </c>
      <c r="Q166" s="267" t="s">
        <v>186</v>
      </c>
      <c r="R166" s="268">
        <f aca="true" t="shared" si="43" ref="R166:R168">E166-D166</f>
        <v>0</v>
      </c>
      <c r="S166" s="129">
        <v>0</v>
      </c>
      <c r="T166" s="131"/>
      <c r="U166" s="126">
        <v>0</v>
      </c>
      <c r="V166" s="126"/>
      <c r="W166" s="126"/>
      <c r="X166" s="127"/>
      <c r="Y166" s="127"/>
    </row>
    <row r="167" spans="1:25" s="122" customFormat="1" ht="24">
      <c r="A167" s="204" t="s">
        <v>197</v>
      </c>
      <c r="B167" s="97">
        <v>6070</v>
      </c>
      <c r="C167" s="125">
        <v>0</v>
      </c>
      <c r="D167" s="125">
        <v>0</v>
      </c>
      <c r="E167" s="133">
        <v>0</v>
      </c>
      <c r="F167" s="127">
        <v>0</v>
      </c>
      <c r="G167" s="127">
        <v>0</v>
      </c>
      <c r="H167" s="127">
        <v>0</v>
      </c>
      <c r="I167" s="127">
        <v>0</v>
      </c>
      <c r="J167" s="126">
        <v>0</v>
      </c>
      <c r="K167" s="126"/>
      <c r="L167" s="126"/>
      <c r="M167" s="126"/>
      <c r="N167" s="126"/>
      <c r="O167" s="133"/>
      <c r="P167" s="127">
        <v>0</v>
      </c>
      <c r="Q167" s="267" t="s">
        <v>186</v>
      </c>
      <c r="R167" s="268">
        <f t="shared" si="43"/>
        <v>0</v>
      </c>
      <c r="S167" s="129">
        <v>0</v>
      </c>
      <c r="T167" s="131"/>
      <c r="U167" s="126">
        <v>0</v>
      </c>
      <c r="V167" s="126"/>
      <c r="W167" s="126"/>
      <c r="X167" s="127"/>
      <c r="Y167" s="127"/>
    </row>
    <row r="168" spans="1:25" s="122" customFormat="1" ht="44.25">
      <c r="A168" s="152" t="s">
        <v>198</v>
      </c>
      <c r="B168" s="97">
        <v>6080</v>
      </c>
      <c r="C168" s="195">
        <v>32021.4</v>
      </c>
      <c r="D168" s="195">
        <v>35288.8</v>
      </c>
      <c r="E168" s="196">
        <v>105759.2</v>
      </c>
      <c r="F168" s="197">
        <v>89317.8</v>
      </c>
      <c r="G168" s="197">
        <v>101973.9</v>
      </c>
      <c r="H168" s="197">
        <v>0</v>
      </c>
      <c r="I168" s="197">
        <v>91271</v>
      </c>
      <c r="J168" s="196"/>
      <c r="K168" s="196"/>
      <c r="L168" s="196"/>
      <c r="M168" s="196"/>
      <c r="N168" s="196"/>
      <c r="O168" s="198"/>
      <c r="P168" s="197">
        <v>0</v>
      </c>
      <c r="Q168" s="267" t="s">
        <v>186</v>
      </c>
      <c r="R168" s="268">
        <f t="shared" si="43"/>
        <v>70470.4</v>
      </c>
      <c r="S168" s="129">
        <v>0</v>
      </c>
      <c r="T168" s="131"/>
      <c r="U168" s="196">
        <v>89556.1</v>
      </c>
      <c r="V168" s="196"/>
      <c r="W168" s="196"/>
      <c r="X168" s="197"/>
      <c r="Y168" s="197"/>
    </row>
    <row r="169" spans="1:25" s="122" customFormat="1" ht="24" customHeight="1" hidden="1">
      <c r="A169" s="216" t="s">
        <v>199</v>
      </c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131"/>
      <c r="U169" s="217"/>
      <c r="V169" s="217"/>
      <c r="W169" s="217"/>
      <c r="X169" s="218"/>
      <c r="Y169" s="218"/>
    </row>
    <row r="170" spans="1:25" s="122" customFormat="1" ht="24" hidden="1">
      <c r="A170" s="211" t="s">
        <v>200</v>
      </c>
      <c r="B170" s="271" t="s">
        <v>201</v>
      </c>
      <c r="C170" s="195">
        <f>SUM(C171:C173)</f>
        <v>0</v>
      </c>
      <c r="D170" s="195">
        <f>SUM(D171:D173)</f>
        <v>0</v>
      </c>
      <c r="E170" s="198">
        <f>SUM(E171:E173)</f>
        <v>0</v>
      </c>
      <c r="F170" s="272"/>
      <c r="G170" s="273"/>
      <c r="H170" s="272"/>
      <c r="I170" s="272"/>
      <c r="J170" s="196"/>
      <c r="K170" s="196"/>
      <c r="L170" s="196"/>
      <c r="M170" s="196"/>
      <c r="N170" s="196"/>
      <c r="O170" s="198"/>
      <c r="P170" s="272"/>
      <c r="Q170" s="273"/>
      <c r="R170" s="274"/>
      <c r="S170" s="275" t="e">
        <f aca="true" t="shared" si="44" ref="S170:S177">Q170/P170%</f>
        <v>#DIV/0!</v>
      </c>
      <c r="T170" s="131"/>
      <c r="U170" s="196"/>
      <c r="V170" s="196"/>
      <c r="W170" s="196"/>
      <c r="X170" s="272"/>
      <c r="Y170" s="272"/>
    </row>
    <row r="171" spans="1:25" s="122" customFormat="1" ht="24" hidden="1">
      <c r="A171" s="204" t="s">
        <v>202</v>
      </c>
      <c r="B171" s="276" t="s">
        <v>203</v>
      </c>
      <c r="C171" s="182"/>
      <c r="D171" s="182"/>
      <c r="E171" s="183"/>
      <c r="F171" s="277"/>
      <c r="G171" s="278"/>
      <c r="H171" s="279"/>
      <c r="I171" s="277"/>
      <c r="J171" s="126"/>
      <c r="K171" s="184"/>
      <c r="L171" s="184"/>
      <c r="M171" s="184"/>
      <c r="N171" s="184"/>
      <c r="O171" s="183"/>
      <c r="P171" s="279"/>
      <c r="Q171" s="280"/>
      <c r="R171" s="281"/>
      <c r="S171" s="275" t="e">
        <f t="shared" si="44"/>
        <v>#DIV/0!</v>
      </c>
      <c r="T171" s="131"/>
      <c r="U171" s="184"/>
      <c r="V171" s="184"/>
      <c r="W171" s="184"/>
      <c r="X171" s="277"/>
      <c r="Y171" s="277"/>
    </row>
    <row r="172" spans="1:25" s="122" customFormat="1" ht="24" hidden="1">
      <c r="A172" s="204" t="s">
        <v>204</v>
      </c>
      <c r="B172" s="276" t="s">
        <v>205</v>
      </c>
      <c r="C172" s="182"/>
      <c r="D172" s="182"/>
      <c r="E172" s="183"/>
      <c r="F172" s="277"/>
      <c r="G172" s="278"/>
      <c r="H172" s="279"/>
      <c r="I172" s="277"/>
      <c r="J172" s="126"/>
      <c r="K172" s="184"/>
      <c r="L172" s="184"/>
      <c r="M172" s="184"/>
      <c r="N172" s="184"/>
      <c r="O172" s="183"/>
      <c r="P172" s="279"/>
      <c r="Q172" s="280"/>
      <c r="R172" s="281"/>
      <c r="S172" s="275" t="e">
        <f t="shared" si="44"/>
        <v>#DIV/0!</v>
      </c>
      <c r="T172" s="131"/>
      <c r="U172" s="184"/>
      <c r="V172" s="184"/>
      <c r="W172" s="184"/>
      <c r="X172" s="277"/>
      <c r="Y172" s="277"/>
    </row>
    <row r="173" spans="1:25" s="122" customFormat="1" ht="24" hidden="1">
      <c r="A173" s="204" t="s">
        <v>206</v>
      </c>
      <c r="B173" s="276" t="s">
        <v>207</v>
      </c>
      <c r="C173" s="182"/>
      <c r="D173" s="182"/>
      <c r="E173" s="183"/>
      <c r="F173" s="277"/>
      <c r="G173" s="278"/>
      <c r="H173" s="279"/>
      <c r="I173" s="277"/>
      <c r="J173" s="126"/>
      <c r="K173" s="184"/>
      <c r="L173" s="184"/>
      <c r="M173" s="184"/>
      <c r="N173" s="184"/>
      <c r="O173" s="183"/>
      <c r="P173" s="279"/>
      <c r="Q173" s="280"/>
      <c r="R173" s="281"/>
      <c r="S173" s="275" t="e">
        <f t="shared" si="44"/>
        <v>#DIV/0!</v>
      </c>
      <c r="T173" s="131"/>
      <c r="U173" s="184"/>
      <c r="V173" s="184"/>
      <c r="W173" s="184"/>
      <c r="X173" s="277"/>
      <c r="Y173" s="277"/>
    </row>
    <row r="174" spans="1:25" s="122" customFormat="1" ht="24" hidden="1">
      <c r="A174" s="152" t="s">
        <v>208</v>
      </c>
      <c r="B174" s="276" t="s">
        <v>209</v>
      </c>
      <c r="C174" s="153">
        <f>SUM(C175:C177)</f>
        <v>0</v>
      </c>
      <c r="D174" s="153">
        <f>SUM(D175:D177)</f>
        <v>0</v>
      </c>
      <c r="E174" s="154">
        <f>SUM(E175:E177)</f>
        <v>0</v>
      </c>
      <c r="F174" s="282"/>
      <c r="G174" s="283"/>
      <c r="H174" s="282"/>
      <c r="I174" s="282"/>
      <c r="J174" s="142"/>
      <c r="K174" s="142"/>
      <c r="L174" s="142"/>
      <c r="M174" s="142"/>
      <c r="N174" s="142"/>
      <c r="O174" s="154"/>
      <c r="P174" s="282"/>
      <c r="Q174" s="283"/>
      <c r="R174" s="284"/>
      <c r="S174" s="275" t="e">
        <f t="shared" si="44"/>
        <v>#DIV/0!</v>
      </c>
      <c r="T174" s="131"/>
      <c r="U174" s="142"/>
      <c r="V174" s="142"/>
      <c r="W174" s="142"/>
      <c r="X174" s="282"/>
      <c r="Y174" s="282"/>
    </row>
    <row r="175" spans="1:25" s="122" customFormat="1" ht="24" hidden="1">
      <c r="A175" s="204" t="s">
        <v>202</v>
      </c>
      <c r="B175" s="276" t="s">
        <v>210</v>
      </c>
      <c r="C175" s="182"/>
      <c r="D175" s="182"/>
      <c r="E175" s="183"/>
      <c r="F175" s="277"/>
      <c r="G175" s="278"/>
      <c r="H175" s="279"/>
      <c r="I175" s="277"/>
      <c r="J175" s="126"/>
      <c r="K175" s="184"/>
      <c r="L175" s="184"/>
      <c r="M175" s="184"/>
      <c r="N175" s="184"/>
      <c r="O175" s="183"/>
      <c r="P175" s="279"/>
      <c r="Q175" s="280"/>
      <c r="R175" s="281"/>
      <c r="S175" s="275" t="e">
        <f t="shared" si="44"/>
        <v>#DIV/0!</v>
      </c>
      <c r="T175" s="131"/>
      <c r="U175" s="184"/>
      <c r="V175" s="184"/>
      <c r="W175" s="184"/>
      <c r="X175" s="277"/>
      <c r="Y175" s="277"/>
    </row>
    <row r="176" spans="1:25" s="122" customFormat="1" ht="24" hidden="1">
      <c r="A176" s="204" t="s">
        <v>204</v>
      </c>
      <c r="B176" s="276" t="s">
        <v>211</v>
      </c>
      <c r="C176" s="182"/>
      <c r="D176" s="182"/>
      <c r="E176" s="183"/>
      <c r="F176" s="277"/>
      <c r="G176" s="278"/>
      <c r="H176" s="279"/>
      <c r="I176" s="277"/>
      <c r="J176" s="126"/>
      <c r="K176" s="184"/>
      <c r="L176" s="184"/>
      <c r="M176" s="184"/>
      <c r="N176" s="184"/>
      <c r="O176" s="183"/>
      <c r="P176" s="279"/>
      <c r="Q176" s="280"/>
      <c r="R176" s="281"/>
      <c r="S176" s="275" t="e">
        <f t="shared" si="44"/>
        <v>#DIV/0!</v>
      </c>
      <c r="T176" s="131"/>
      <c r="U176" s="184"/>
      <c r="V176" s="184"/>
      <c r="W176" s="184"/>
      <c r="X176" s="277"/>
      <c r="Y176" s="277"/>
    </row>
    <row r="177" spans="1:25" s="122" customFormat="1" ht="24" hidden="1">
      <c r="A177" s="255" t="s">
        <v>206</v>
      </c>
      <c r="B177" s="285" t="s">
        <v>212</v>
      </c>
      <c r="C177" s="182"/>
      <c r="D177" s="182"/>
      <c r="E177" s="183"/>
      <c r="F177" s="277"/>
      <c r="G177" s="278"/>
      <c r="H177" s="279"/>
      <c r="I177" s="277"/>
      <c r="J177" s="126"/>
      <c r="K177" s="184"/>
      <c r="L177" s="184"/>
      <c r="M177" s="184"/>
      <c r="N177" s="184"/>
      <c r="O177" s="183"/>
      <c r="P177" s="279"/>
      <c r="Q177" s="280"/>
      <c r="R177" s="281"/>
      <c r="S177" s="275" t="e">
        <f t="shared" si="44"/>
        <v>#DIV/0!</v>
      </c>
      <c r="T177" s="131"/>
      <c r="U177" s="184"/>
      <c r="V177" s="184"/>
      <c r="W177" s="184"/>
      <c r="X177" s="277"/>
      <c r="Y177" s="277"/>
    </row>
    <row r="178" spans="1:25" s="122" customFormat="1" ht="24" customHeight="1">
      <c r="A178" s="119" t="s">
        <v>213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31"/>
      <c r="U178" s="174"/>
      <c r="V178" s="174"/>
      <c r="W178" s="174"/>
      <c r="X178" s="175"/>
      <c r="Y178" s="175"/>
    </row>
    <row r="179" spans="1:25" s="122" customFormat="1" ht="44.25">
      <c r="A179" s="157" t="s">
        <v>214</v>
      </c>
      <c r="B179" s="286" t="s">
        <v>215</v>
      </c>
      <c r="C179" s="287">
        <v>962</v>
      </c>
      <c r="D179" s="288" t="s">
        <v>186</v>
      </c>
      <c r="E179" s="270" t="s">
        <v>186</v>
      </c>
      <c r="F179" s="289">
        <v>979</v>
      </c>
      <c r="G179" s="289">
        <v>1008</v>
      </c>
      <c r="H179" s="290">
        <v>995</v>
      </c>
      <c r="I179" s="291">
        <f>I180+I181+I182</f>
        <v>1011</v>
      </c>
      <c r="J179" s="292">
        <v>1017</v>
      </c>
      <c r="K179" s="184">
        <v>990</v>
      </c>
      <c r="L179" s="184">
        <v>1017</v>
      </c>
      <c r="M179" s="184"/>
      <c r="N179" s="184">
        <v>1017</v>
      </c>
      <c r="O179" s="183"/>
      <c r="P179" s="138">
        <v>1160.5</v>
      </c>
      <c r="Q179" s="289">
        <v>1008</v>
      </c>
      <c r="R179" s="202">
        <f aca="true" t="shared" si="45" ref="R179:R187">Q179-P179</f>
        <v>-152.5</v>
      </c>
      <c r="S179" s="202">
        <f>Q179/P179%-0.4</f>
        <v>86.4591124515295</v>
      </c>
      <c r="T179" s="131"/>
      <c r="U179" s="293">
        <v>963</v>
      </c>
      <c r="V179" s="293">
        <v>990</v>
      </c>
      <c r="W179" s="293"/>
      <c r="X179" s="294">
        <v>991</v>
      </c>
      <c r="Y179" s="155"/>
    </row>
    <row r="180" spans="1:25" s="122" customFormat="1" ht="44.25">
      <c r="A180" s="146" t="s">
        <v>216</v>
      </c>
      <c r="B180" s="295" t="s">
        <v>217</v>
      </c>
      <c r="C180" s="296">
        <v>1</v>
      </c>
      <c r="D180" s="182" t="s">
        <v>186</v>
      </c>
      <c r="E180" s="183" t="s">
        <v>186</v>
      </c>
      <c r="F180" s="297">
        <v>1</v>
      </c>
      <c r="G180" s="297">
        <v>1</v>
      </c>
      <c r="H180" s="298">
        <v>1</v>
      </c>
      <c r="I180" s="294">
        <v>1</v>
      </c>
      <c r="J180" s="293">
        <v>1</v>
      </c>
      <c r="K180" s="184">
        <v>1</v>
      </c>
      <c r="L180" s="184">
        <v>1</v>
      </c>
      <c r="M180" s="184"/>
      <c r="N180" s="184">
        <v>1</v>
      </c>
      <c r="O180" s="183"/>
      <c r="P180" s="297">
        <v>1</v>
      </c>
      <c r="Q180" s="297">
        <v>1</v>
      </c>
      <c r="R180" s="299">
        <f t="shared" si="45"/>
        <v>0</v>
      </c>
      <c r="S180" s="129">
        <f aca="true" t="shared" si="46" ref="S180:S187">Q180/P180%</f>
        <v>100</v>
      </c>
      <c r="T180" s="120"/>
      <c r="U180" s="293" t="s">
        <v>41</v>
      </c>
      <c r="V180" s="293">
        <v>1</v>
      </c>
      <c r="W180" s="293"/>
      <c r="X180" s="294">
        <v>1</v>
      </c>
      <c r="Y180" s="155"/>
    </row>
    <row r="181" spans="1:25" s="122" customFormat="1" ht="24">
      <c r="A181" s="146" t="s">
        <v>218</v>
      </c>
      <c r="B181" s="295" t="s">
        <v>219</v>
      </c>
      <c r="C181" s="296">
        <v>30</v>
      </c>
      <c r="D181" s="182" t="s">
        <v>186</v>
      </c>
      <c r="E181" s="183" t="s">
        <v>186</v>
      </c>
      <c r="F181" s="297">
        <v>35</v>
      </c>
      <c r="G181" s="297">
        <v>35</v>
      </c>
      <c r="H181" s="298">
        <v>35</v>
      </c>
      <c r="I181" s="294">
        <v>35</v>
      </c>
      <c r="J181" s="293">
        <v>36</v>
      </c>
      <c r="K181" s="184">
        <v>35</v>
      </c>
      <c r="L181" s="184">
        <v>36</v>
      </c>
      <c r="M181" s="184"/>
      <c r="N181" s="184">
        <v>36</v>
      </c>
      <c r="O181" s="183"/>
      <c r="P181" s="297">
        <v>35</v>
      </c>
      <c r="Q181" s="297">
        <v>35</v>
      </c>
      <c r="R181" s="299">
        <f t="shared" si="45"/>
        <v>0</v>
      </c>
      <c r="S181" s="129">
        <f t="shared" si="46"/>
        <v>100</v>
      </c>
      <c r="T181" s="120"/>
      <c r="U181" s="293">
        <v>35</v>
      </c>
      <c r="V181" s="293">
        <v>35</v>
      </c>
      <c r="W181" s="293"/>
      <c r="X181" s="294">
        <v>35</v>
      </c>
      <c r="Y181" s="155"/>
    </row>
    <row r="182" spans="1:25" s="122" customFormat="1" ht="24">
      <c r="A182" s="146" t="s">
        <v>220</v>
      </c>
      <c r="B182" s="295" t="s">
        <v>221</v>
      </c>
      <c r="C182" s="296">
        <v>931</v>
      </c>
      <c r="D182" s="182" t="s">
        <v>186</v>
      </c>
      <c r="E182" s="183" t="s">
        <v>186</v>
      </c>
      <c r="F182" s="297">
        <f>F179-F180-F181</f>
        <v>943</v>
      </c>
      <c r="G182" s="297">
        <f>G179-G180-G181</f>
        <v>972</v>
      </c>
      <c r="H182" s="298">
        <v>959</v>
      </c>
      <c r="I182" s="294">
        <v>975</v>
      </c>
      <c r="J182" s="293">
        <v>980</v>
      </c>
      <c r="K182" s="184">
        <v>954</v>
      </c>
      <c r="L182" s="184">
        <v>980</v>
      </c>
      <c r="M182" s="184"/>
      <c r="N182" s="184">
        <v>980</v>
      </c>
      <c r="O182" s="183"/>
      <c r="P182" s="268">
        <f>P179-P180-P181</f>
        <v>1124.5</v>
      </c>
      <c r="Q182" s="297">
        <f>Q179-Q180-Q181</f>
        <v>972</v>
      </c>
      <c r="R182" s="129">
        <f t="shared" si="45"/>
        <v>-152.5</v>
      </c>
      <c r="S182" s="129">
        <f t="shared" si="46"/>
        <v>86.43841707425523</v>
      </c>
      <c r="T182" s="120"/>
      <c r="U182" s="293">
        <v>927</v>
      </c>
      <c r="V182" s="293">
        <v>954</v>
      </c>
      <c r="W182" s="293"/>
      <c r="X182" s="294">
        <v>955</v>
      </c>
      <c r="Y182" s="155"/>
    </row>
    <row r="183" spans="1:25" s="122" customFormat="1" ht="44.25">
      <c r="A183" s="157" t="s">
        <v>95</v>
      </c>
      <c r="B183" s="286" t="s">
        <v>222</v>
      </c>
      <c r="C183" s="137">
        <f>C74</f>
        <v>23582.9</v>
      </c>
      <c r="D183" s="288" t="s">
        <v>186</v>
      </c>
      <c r="E183" s="270" t="s">
        <v>186</v>
      </c>
      <c r="F183" s="270">
        <v>36317.9</v>
      </c>
      <c r="G183" s="270">
        <v>51086.2</v>
      </c>
      <c r="H183" s="143">
        <f>H74</f>
        <v>25388.6</v>
      </c>
      <c r="I183" s="300">
        <v>24662.4</v>
      </c>
      <c r="J183" s="142">
        <v>25998.8</v>
      </c>
      <c r="K183" s="142">
        <f>K74</f>
        <v>0</v>
      </c>
      <c r="L183" s="142">
        <v>26991.6</v>
      </c>
      <c r="M183" s="142">
        <f>M74</f>
        <v>0</v>
      </c>
      <c r="N183" s="142">
        <v>25335.2</v>
      </c>
      <c r="O183" s="154">
        <f>O74</f>
        <v>0</v>
      </c>
      <c r="P183" s="139">
        <f>25090.7+26683.9</f>
        <v>51774.600000000006</v>
      </c>
      <c r="Q183" s="138">
        <v>51312.1</v>
      </c>
      <c r="R183" s="138">
        <f t="shared" si="45"/>
        <v>-462.5000000000073</v>
      </c>
      <c r="S183" s="202">
        <f t="shared" si="46"/>
        <v>99.10670483209911</v>
      </c>
      <c r="T183" s="120" t="s">
        <v>223</v>
      </c>
      <c r="U183" s="142">
        <f>U74</f>
        <v>17507.2</v>
      </c>
      <c r="V183" s="142">
        <f>V74</f>
        <v>18810.7</v>
      </c>
      <c r="W183" s="142">
        <f>W74</f>
        <v>20773.9</v>
      </c>
      <c r="X183" s="142">
        <f>X74</f>
        <v>25114.3</v>
      </c>
      <c r="Y183" s="142">
        <f>Y74</f>
        <v>82206.1</v>
      </c>
    </row>
    <row r="184" spans="1:25" s="122" customFormat="1" ht="63.75" customHeight="1">
      <c r="A184" s="157" t="s">
        <v>224</v>
      </c>
      <c r="B184" s="286" t="s">
        <v>225</v>
      </c>
      <c r="C184" s="137">
        <v>4087</v>
      </c>
      <c r="D184" s="288" t="s">
        <v>186</v>
      </c>
      <c r="E184" s="270" t="s">
        <v>186</v>
      </c>
      <c r="F184" s="289">
        <f>F183/F179/6*1000</f>
        <v>6182.822608103507</v>
      </c>
      <c r="G184" s="289">
        <f>G183/G179/6*1000</f>
        <v>8446.792328042327</v>
      </c>
      <c r="H184" s="301">
        <f>H183/H179/3*1000-0.3</f>
        <v>8505.09363484087</v>
      </c>
      <c r="I184" s="291">
        <f>I183/I179/3*1000</f>
        <v>8131.35509396637</v>
      </c>
      <c r="J184" s="292">
        <v>8521</v>
      </c>
      <c r="K184" s="293">
        <v>6334</v>
      </c>
      <c r="L184" s="293">
        <v>8847</v>
      </c>
      <c r="M184" s="293"/>
      <c r="N184" s="293">
        <v>8304</v>
      </c>
      <c r="O184" s="302"/>
      <c r="P184" s="291">
        <v>8521</v>
      </c>
      <c r="Q184" s="289">
        <v>8458</v>
      </c>
      <c r="R184" s="303">
        <f t="shared" si="45"/>
        <v>-63</v>
      </c>
      <c r="S184" s="303">
        <f t="shared" si="46"/>
        <v>99.26065015843211</v>
      </c>
      <c r="T184" s="120" t="s">
        <v>223</v>
      </c>
      <c r="U184" s="289">
        <f>U183/U179/3*1000</f>
        <v>6059.951540325372</v>
      </c>
      <c r="V184" s="184">
        <v>6334</v>
      </c>
      <c r="W184" s="184"/>
      <c r="X184" s="155">
        <v>8447</v>
      </c>
      <c r="Y184" s="155"/>
    </row>
    <row r="185" spans="1:25" s="122" customFormat="1" ht="32.25" customHeight="1">
      <c r="A185" s="146" t="s">
        <v>216</v>
      </c>
      <c r="B185" s="295" t="s">
        <v>226</v>
      </c>
      <c r="C185" s="182">
        <v>6025</v>
      </c>
      <c r="D185" s="182" t="s">
        <v>186</v>
      </c>
      <c r="E185" s="183" t="s">
        <v>186</v>
      </c>
      <c r="F185" s="297">
        <v>22756</v>
      </c>
      <c r="G185" s="299">
        <v>32112</v>
      </c>
      <c r="H185" s="304">
        <v>28733</v>
      </c>
      <c r="I185" s="304">
        <v>26874</v>
      </c>
      <c r="J185" s="305">
        <v>30900</v>
      </c>
      <c r="K185" s="293">
        <v>13067</v>
      </c>
      <c r="L185" s="293">
        <v>32133</v>
      </c>
      <c r="M185" s="293"/>
      <c r="N185" s="293">
        <v>31500</v>
      </c>
      <c r="O185" s="302"/>
      <c r="P185" s="304">
        <v>30900</v>
      </c>
      <c r="Q185" s="299">
        <v>32112</v>
      </c>
      <c r="R185" s="299">
        <f t="shared" si="45"/>
        <v>1212</v>
      </c>
      <c r="S185" s="129">
        <f t="shared" si="46"/>
        <v>103.92233009708738</v>
      </c>
      <c r="T185" s="120"/>
      <c r="U185" s="294">
        <v>22596</v>
      </c>
      <c r="V185" s="184">
        <v>13067</v>
      </c>
      <c r="W185" s="184"/>
      <c r="X185" s="155">
        <v>14493</v>
      </c>
      <c r="Y185" s="155"/>
    </row>
    <row r="186" spans="1:25" s="122" customFormat="1" ht="33.75" customHeight="1">
      <c r="A186" s="146" t="s">
        <v>218</v>
      </c>
      <c r="B186" s="295" t="s">
        <v>227</v>
      </c>
      <c r="C186" s="182">
        <v>5225</v>
      </c>
      <c r="D186" s="182" t="s">
        <v>186</v>
      </c>
      <c r="E186" s="183" t="s">
        <v>186</v>
      </c>
      <c r="F186" s="297">
        <v>8749</v>
      </c>
      <c r="G186" s="299">
        <v>11138</v>
      </c>
      <c r="H186" s="304">
        <v>11448</v>
      </c>
      <c r="I186" s="304">
        <v>10853</v>
      </c>
      <c r="J186" s="305">
        <v>11084</v>
      </c>
      <c r="K186" s="293">
        <v>8770</v>
      </c>
      <c r="L186" s="293">
        <v>11588</v>
      </c>
      <c r="M186" s="293"/>
      <c r="N186" s="293">
        <v>11903</v>
      </c>
      <c r="O186" s="302"/>
      <c r="P186" s="304">
        <v>11084</v>
      </c>
      <c r="Q186" s="299">
        <v>11138</v>
      </c>
      <c r="R186" s="299">
        <f t="shared" si="45"/>
        <v>54</v>
      </c>
      <c r="S186" s="129">
        <f t="shared" si="46"/>
        <v>100.48718874052689</v>
      </c>
      <c r="T186" s="120"/>
      <c r="U186" s="294">
        <v>8665</v>
      </c>
      <c r="V186" s="184">
        <v>8770</v>
      </c>
      <c r="W186" s="184"/>
      <c r="X186" s="155">
        <v>10105</v>
      </c>
      <c r="Y186" s="155"/>
    </row>
    <row r="187" spans="1:25" s="122" customFormat="1" ht="44.25">
      <c r="A187" s="146" t="s">
        <v>220</v>
      </c>
      <c r="B187" s="295" t="s">
        <v>228</v>
      </c>
      <c r="C187" s="182">
        <v>4042</v>
      </c>
      <c r="D187" s="182" t="s">
        <v>186</v>
      </c>
      <c r="E187" s="183" t="s">
        <v>186</v>
      </c>
      <c r="F187" s="297">
        <v>6085</v>
      </c>
      <c r="G187" s="297">
        <v>8364</v>
      </c>
      <c r="H187" s="304">
        <v>8377</v>
      </c>
      <c r="I187" s="294">
        <v>8014</v>
      </c>
      <c r="J187" s="305">
        <v>8404</v>
      </c>
      <c r="K187" s="293">
        <v>6237</v>
      </c>
      <c r="L187" s="293">
        <v>8722</v>
      </c>
      <c r="M187" s="293"/>
      <c r="N187" s="293">
        <v>8148</v>
      </c>
      <c r="O187" s="302"/>
      <c r="P187" s="304">
        <v>8404</v>
      </c>
      <c r="Q187" s="299">
        <v>8364</v>
      </c>
      <c r="R187" s="299">
        <f t="shared" si="45"/>
        <v>-40</v>
      </c>
      <c r="S187" s="129">
        <f t="shared" si="46"/>
        <v>99.52403617325082</v>
      </c>
      <c r="T187" s="120"/>
      <c r="U187" s="294">
        <v>6040</v>
      </c>
      <c r="V187" s="184">
        <v>6237</v>
      </c>
      <c r="W187" s="184"/>
      <c r="X187" s="155">
        <v>8324</v>
      </c>
      <c r="Y187" s="155"/>
    </row>
    <row r="188" spans="1:19" s="120" customFormat="1" ht="24">
      <c r="A188" s="306"/>
      <c r="B188" s="307"/>
      <c r="C188" s="308"/>
      <c r="D188" s="309"/>
      <c r="E188" s="308"/>
      <c r="F188" s="310">
        <f>F74</f>
        <v>36317.9</v>
      </c>
      <c r="G188" s="310">
        <f>G74</f>
        <v>51086.2</v>
      </c>
      <c r="H188" s="311"/>
      <c r="I188" s="311"/>
      <c r="J188" s="311"/>
      <c r="K188" s="311"/>
      <c r="L188" s="311"/>
      <c r="M188" s="311"/>
      <c r="N188" s="311"/>
      <c r="O188" s="311"/>
      <c r="P188" s="310">
        <f>P74</f>
        <v>51387.399999999994</v>
      </c>
      <c r="Q188" s="310">
        <f>Q74</f>
        <v>51086.2</v>
      </c>
      <c r="R188" s="312"/>
      <c r="S188" s="313"/>
    </row>
    <row r="189" spans="1:19" s="120" customFormat="1" ht="24">
      <c r="A189" s="306"/>
      <c r="B189" s="307"/>
      <c r="C189" s="308"/>
      <c r="D189" s="309"/>
      <c r="E189" s="308"/>
      <c r="F189" s="310">
        <f>F183-F188</f>
        <v>0</v>
      </c>
      <c r="G189" s="310">
        <f>G183-G188</f>
        <v>0</v>
      </c>
      <c r="H189" s="311"/>
      <c r="I189" s="311"/>
      <c r="J189" s="311"/>
      <c r="K189" s="311"/>
      <c r="L189" s="311"/>
      <c r="M189" s="311"/>
      <c r="N189" s="311"/>
      <c r="O189" s="311"/>
      <c r="P189" s="310">
        <f>P183-P188</f>
        <v>387.20000000001164</v>
      </c>
      <c r="Q189" s="310">
        <f>Q183-Q188</f>
        <v>225.90000000000146</v>
      </c>
      <c r="R189" s="312"/>
      <c r="S189" s="313"/>
    </row>
    <row r="190" spans="1:19" ht="44.25" customHeight="1">
      <c r="A190" s="314" t="s">
        <v>229</v>
      </c>
      <c r="B190" s="25"/>
      <c r="C190" s="315" t="s">
        <v>230</v>
      </c>
      <c r="D190" s="315"/>
      <c r="E190" s="315"/>
      <c r="F190" s="315"/>
      <c r="G190" s="315"/>
      <c r="H190" s="315"/>
      <c r="I190" s="315"/>
      <c r="J190" s="315"/>
      <c r="K190" s="315"/>
      <c r="L190" s="315"/>
      <c r="M190" s="315"/>
      <c r="N190" s="315"/>
      <c r="O190" s="315"/>
      <c r="P190" s="315"/>
      <c r="Q190" s="315"/>
      <c r="R190" s="28"/>
      <c r="S190" s="28"/>
    </row>
    <row r="191" spans="1:25" s="318" customFormat="1" ht="24">
      <c r="A191" s="73" t="s">
        <v>231</v>
      </c>
      <c r="B191" s="12"/>
      <c r="C191" s="28" t="s">
        <v>232</v>
      </c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316"/>
      <c r="U191" s="317"/>
      <c r="V191" s="317"/>
      <c r="W191" s="317"/>
      <c r="X191" s="317"/>
      <c r="Y191" s="317"/>
    </row>
  </sheetData>
  <sheetProtection selectLockedCells="1" selectUnlockedCells="1"/>
  <autoFilter ref="A29:S187"/>
  <mergeCells count="42">
    <mergeCell ref="Q1:S1"/>
    <mergeCell ref="Q2:S2"/>
    <mergeCell ref="Q3:S3"/>
    <mergeCell ref="Q4:S4"/>
    <mergeCell ref="B6:P6"/>
    <mergeCell ref="B7:Q7"/>
    <mergeCell ref="B8:Q8"/>
    <mergeCell ref="B9:Q9"/>
    <mergeCell ref="B10:Q10"/>
    <mergeCell ref="B11:Q11"/>
    <mergeCell ref="B12:Q12"/>
    <mergeCell ref="B15:Q15"/>
    <mergeCell ref="B16:Q16"/>
    <mergeCell ref="B17:Q17"/>
    <mergeCell ref="B18:Q18"/>
    <mergeCell ref="A20:S20"/>
    <mergeCell ref="A21:S21"/>
    <mergeCell ref="A22:S22"/>
    <mergeCell ref="A23:S23"/>
    <mergeCell ref="A25:S25"/>
    <mergeCell ref="A27:A28"/>
    <mergeCell ref="B27:B28"/>
    <mergeCell ref="C27:G27"/>
    <mergeCell ref="H27:I27"/>
    <mergeCell ref="J27:K27"/>
    <mergeCell ref="L27:M27"/>
    <mergeCell ref="N27:O27"/>
    <mergeCell ref="P27:Q27"/>
    <mergeCell ref="A30:S30"/>
    <mergeCell ref="A79:S79"/>
    <mergeCell ref="A80:S80"/>
    <mergeCell ref="A92:S92"/>
    <mergeCell ref="C106:S106"/>
    <mergeCell ref="A114:S114"/>
    <mergeCell ref="A149:S149"/>
    <mergeCell ref="A155:S155"/>
    <mergeCell ref="A169:S169"/>
    <mergeCell ref="A178:S178"/>
    <mergeCell ref="C190:Q190"/>
    <mergeCell ref="R190:S190"/>
    <mergeCell ref="C191:Q191"/>
    <mergeCell ref="R191:S191"/>
  </mergeCells>
  <printOptions/>
  <pageMargins left="0.6722222222222223" right="0.21666666666666667" top="0.19444444444444445" bottom="0.21736111111111112" header="0" footer="0.5118055555555555"/>
  <pageSetup fitToHeight="3" fitToWidth="1" horizontalDpi="300" verticalDpi="300" orientation="portrait" paperSize="9"/>
  <headerFooter alignWithMargins="0">
    <oddHeader>&amp;C&amp;"Times New Roman,Обычный"&amp;14 &amp;P&amp;R&amp;"Times New Roman,Обычный"&amp;14Продовження додатка 3</oddHeader>
  </headerFooter>
  <rowBreaks count="4" manualBreakCount="4">
    <brk id="69" max="255" man="1"/>
    <brk id="128" max="255" man="1"/>
    <brk id="129" max="25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="65" zoomScaleNormal="65" zoomScaleSheetLayoutView="65" workbookViewId="0" topLeftCell="A16">
      <pane xSplit="5" topLeftCell="F16" activePane="topRight" state="frozen"/>
      <selection pane="topLeft" activeCell="A16" sqref="A16"/>
      <selection pane="topRight" activeCell="G75" sqref="G75"/>
    </sheetView>
  </sheetViews>
  <sheetFormatPr defaultColWidth="11.00390625" defaultRowHeight="12.75" outlineLevelRow="1"/>
  <cols>
    <col min="1" max="1" width="78.25390625" style="0" customWidth="1"/>
    <col min="2" max="2" width="16.625" style="0" customWidth="1"/>
    <col min="3" max="5" width="0" style="0" hidden="1" customWidth="1"/>
    <col min="6" max="6" width="20.375" style="0" customWidth="1"/>
    <col min="7" max="7" width="19.875" style="0" customWidth="1"/>
    <col min="8" max="8" width="13.50390625" style="0" customWidth="1"/>
    <col min="9" max="9" width="13.25390625" style="0" customWidth="1"/>
    <col min="10" max="10" width="14.75390625" style="0" customWidth="1"/>
    <col min="11" max="16384" width="11.50390625" style="0" customWidth="1"/>
  </cols>
  <sheetData>
    <row r="1" spans="1:10" ht="24">
      <c r="A1" s="1"/>
      <c r="B1" s="319" t="s">
        <v>233</v>
      </c>
      <c r="C1" s="319"/>
      <c r="D1" s="319"/>
      <c r="E1" s="319"/>
      <c r="F1" s="319"/>
      <c r="G1" s="319"/>
      <c r="H1" s="319"/>
      <c r="I1" s="319"/>
      <c r="J1" s="319"/>
    </row>
    <row r="2" spans="1:10" ht="18.75" customHeight="1" outlineLevel="1">
      <c r="A2" s="1"/>
      <c r="B2" s="2"/>
      <c r="C2" s="320"/>
      <c r="D2" s="320"/>
      <c r="E2" s="321" t="s">
        <v>234</v>
      </c>
      <c r="F2" s="321"/>
      <c r="G2" s="321"/>
      <c r="H2" s="321"/>
      <c r="I2" s="321"/>
      <c r="J2" s="321"/>
    </row>
    <row r="3" spans="1:10" ht="18.75" outlineLevel="1">
      <c r="A3" s="1"/>
      <c r="B3" s="2"/>
      <c r="C3" s="320"/>
      <c r="D3" s="320"/>
      <c r="E3" s="321"/>
      <c r="F3" s="321"/>
      <c r="G3" s="321"/>
      <c r="H3" s="321"/>
      <c r="I3" s="321"/>
      <c r="J3" s="321"/>
    </row>
    <row r="4" spans="1:10" ht="18.75" outlineLevel="1">
      <c r="A4" s="1"/>
      <c r="B4" s="322"/>
      <c r="C4" s="323"/>
      <c r="D4" s="324"/>
      <c r="E4" s="321"/>
      <c r="F4" s="321"/>
      <c r="G4" s="321"/>
      <c r="H4" s="321"/>
      <c r="I4" s="321"/>
      <c r="J4" s="321"/>
    </row>
    <row r="5" spans="1:10" ht="18.75" outlineLevel="1">
      <c r="A5" s="1"/>
      <c r="B5" s="2"/>
      <c r="C5" s="320"/>
      <c r="D5" s="320"/>
      <c r="E5" s="321"/>
      <c r="F5" s="321"/>
      <c r="G5" s="321"/>
      <c r="H5" s="321"/>
      <c r="I5" s="321"/>
      <c r="J5" s="321"/>
    </row>
    <row r="6" spans="1:10" ht="18.75" outlineLevel="1">
      <c r="A6" s="1"/>
      <c r="B6" s="2"/>
      <c r="C6" s="320"/>
      <c r="D6" s="320"/>
      <c r="E6" s="320"/>
      <c r="F6" s="70"/>
      <c r="G6" s="325"/>
      <c r="H6" s="325"/>
      <c r="I6" s="325"/>
      <c r="J6" s="325"/>
    </row>
    <row r="7" spans="1:10" ht="18.75" customHeight="1" outlineLevel="1">
      <c r="A7" s="326"/>
      <c r="B7" s="322"/>
      <c r="C7" s="323"/>
      <c r="D7" s="324"/>
      <c r="E7" s="327" t="s">
        <v>235</v>
      </c>
      <c r="F7" s="327"/>
      <c r="G7" s="328"/>
      <c r="H7" s="328"/>
      <c r="I7" s="328"/>
      <c r="J7" s="328"/>
    </row>
    <row r="8" spans="1:10" ht="35.25" customHeight="1" outlineLevel="1">
      <c r="A8" s="326"/>
      <c r="B8" s="326"/>
      <c r="C8" s="323"/>
      <c r="D8" s="324"/>
      <c r="E8" s="329" t="s">
        <v>236</v>
      </c>
      <c r="F8" s="329"/>
      <c r="G8" s="329"/>
      <c r="H8" s="329"/>
      <c r="I8" s="329"/>
      <c r="J8" s="329"/>
    </row>
    <row r="9" spans="1:10" ht="16.5" customHeight="1" outlineLevel="1">
      <c r="A9" s="330"/>
      <c r="B9" s="330"/>
      <c r="C9" s="323"/>
      <c r="D9" s="331"/>
      <c r="E9" s="332" t="s">
        <v>237</v>
      </c>
      <c r="F9" s="332"/>
      <c r="G9" s="332"/>
      <c r="H9" s="332"/>
      <c r="I9" s="332"/>
      <c r="J9" s="332"/>
    </row>
    <row r="10" spans="1:10" ht="18.75" outlineLevel="1">
      <c r="A10" s="330"/>
      <c r="B10" s="330"/>
      <c r="C10" s="333"/>
      <c r="D10" s="334"/>
      <c r="E10" s="335"/>
      <c r="F10" s="336"/>
      <c r="G10" s="337" t="s">
        <v>238</v>
      </c>
      <c r="H10" s="337"/>
      <c r="I10" s="337"/>
      <c r="J10" s="337"/>
    </row>
    <row r="11" spans="1:10" ht="16.5" customHeight="1" outlineLevel="1">
      <c r="A11" s="338"/>
      <c r="B11" s="338"/>
      <c r="C11" s="339"/>
      <c r="D11" s="339"/>
      <c r="E11" s="340" t="s">
        <v>239</v>
      </c>
      <c r="F11" s="340"/>
      <c r="G11" s="340"/>
      <c r="H11" s="340"/>
      <c r="I11" s="340"/>
      <c r="J11" s="340"/>
    </row>
    <row r="12" spans="1:10" ht="18.75" customHeight="1" outlineLevel="1">
      <c r="A12" s="330"/>
      <c r="B12" s="330"/>
      <c r="C12" s="323"/>
      <c r="D12" s="324"/>
      <c r="E12" s="335"/>
      <c r="F12" s="336"/>
      <c r="G12" s="1"/>
      <c r="H12" s="1"/>
      <c r="I12" s="1"/>
      <c r="J12" s="1"/>
    </row>
    <row r="13" spans="1:10" ht="18.75" customHeight="1" outlineLevel="1">
      <c r="A13" s="330"/>
      <c r="B13" s="330"/>
      <c r="C13" s="323"/>
      <c r="D13" s="323"/>
      <c r="E13" s="340"/>
      <c r="F13" s="341" t="s">
        <v>240</v>
      </c>
      <c r="G13" s="1"/>
      <c r="H13" s="1"/>
      <c r="I13" s="1"/>
      <c r="J13" s="1"/>
    </row>
    <row r="14" spans="1:10" ht="16.5" customHeight="1" outlineLevel="1">
      <c r="A14" s="330"/>
      <c r="B14" s="330"/>
      <c r="C14" s="323"/>
      <c r="D14" s="323"/>
      <c r="E14" s="323"/>
      <c r="F14" s="331"/>
      <c r="G14" s="342"/>
      <c r="H14" s="342"/>
      <c r="I14" s="342"/>
      <c r="J14" s="342"/>
    </row>
    <row r="15" spans="1:10" ht="16.5" customHeight="1" outlineLevel="1">
      <c r="A15" s="343"/>
      <c r="B15" s="344"/>
      <c r="C15" s="344"/>
      <c r="D15" s="344"/>
      <c r="E15" s="344"/>
      <c r="F15" s="344"/>
      <c r="G15" s="345"/>
      <c r="H15" s="346"/>
      <c r="I15" s="347" t="s">
        <v>4</v>
      </c>
      <c r="J15" s="348" t="s">
        <v>5</v>
      </c>
    </row>
    <row r="16" spans="1:10" ht="17.25" customHeight="1" outlineLevel="1">
      <c r="A16" s="349" t="s">
        <v>6</v>
      </c>
      <c r="B16" s="344"/>
      <c r="C16" s="344"/>
      <c r="D16" s="344"/>
      <c r="E16" s="344"/>
      <c r="F16" s="344"/>
      <c r="G16" s="350"/>
      <c r="H16" s="351"/>
      <c r="I16" s="352" t="s">
        <v>7</v>
      </c>
      <c r="J16" s="348">
        <v>34811465</v>
      </c>
    </row>
    <row r="17" spans="1:10" ht="17.25" customHeight="1" outlineLevel="1">
      <c r="A17" s="349" t="s">
        <v>8</v>
      </c>
      <c r="B17" s="344"/>
      <c r="C17" s="344"/>
      <c r="D17" s="344"/>
      <c r="E17" s="344"/>
      <c r="F17" s="344"/>
      <c r="G17" s="345"/>
      <c r="H17" s="346"/>
      <c r="I17" s="352" t="s">
        <v>9</v>
      </c>
      <c r="J17" s="348">
        <v>150</v>
      </c>
    </row>
    <row r="18" spans="1:10" ht="17.25" customHeight="1" outlineLevel="1">
      <c r="A18" s="349" t="s">
        <v>10</v>
      </c>
      <c r="B18" s="344"/>
      <c r="C18" s="344"/>
      <c r="D18" s="344"/>
      <c r="E18" s="344"/>
      <c r="F18" s="344"/>
      <c r="G18" s="345"/>
      <c r="H18" s="346"/>
      <c r="I18" s="352" t="s">
        <v>11</v>
      </c>
      <c r="J18" s="348">
        <v>1211000000</v>
      </c>
    </row>
    <row r="19" spans="1:10" ht="17.25" outlineLevel="1">
      <c r="A19" s="349" t="s">
        <v>12</v>
      </c>
      <c r="B19" s="344"/>
      <c r="C19" s="344"/>
      <c r="D19" s="344"/>
      <c r="E19" s="344"/>
      <c r="F19" s="344"/>
      <c r="G19" s="350"/>
      <c r="H19" s="351"/>
      <c r="I19" s="352" t="s">
        <v>13</v>
      </c>
      <c r="J19" s="348"/>
    </row>
    <row r="20" spans="1:10" ht="16.5" outlineLevel="1">
      <c r="A20" s="349" t="s">
        <v>14</v>
      </c>
      <c r="B20" s="344"/>
      <c r="C20" s="344"/>
      <c r="D20" s="344"/>
      <c r="E20" s="344"/>
      <c r="F20" s="344"/>
      <c r="G20" s="350"/>
      <c r="H20" s="351"/>
      <c r="I20" s="352" t="s">
        <v>15</v>
      </c>
      <c r="J20" s="348"/>
    </row>
    <row r="21" spans="1:10" ht="32.25" outlineLevel="1">
      <c r="A21" s="349" t="s">
        <v>16</v>
      </c>
      <c r="B21" s="344"/>
      <c r="C21" s="344"/>
      <c r="D21" s="344"/>
      <c r="E21" s="344"/>
      <c r="F21" s="344"/>
      <c r="G21" s="350"/>
      <c r="H21" s="353"/>
      <c r="I21" s="354" t="s">
        <v>17</v>
      </c>
      <c r="J21" s="348" t="s">
        <v>18</v>
      </c>
    </row>
    <row r="22" spans="1:10" ht="17.25" customHeight="1" outlineLevel="1">
      <c r="A22" s="349" t="s">
        <v>241</v>
      </c>
      <c r="B22" s="355" t="s">
        <v>20</v>
      </c>
      <c r="C22" s="355"/>
      <c r="D22" s="355"/>
      <c r="E22" s="355"/>
      <c r="F22" s="355"/>
      <c r="G22" s="355"/>
      <c r="H22" s="355"/>
      <c r="I22" s="355"/>
      <c r="J22" s="356"/>
    </row>
    <row r="23" spans="1:10" ht="17.25" customHeight="1" outlineLevel="1">
      <c r="A23" s="349" t="s">
        <v>21</v>
      </c>
      <c r="B23" s="344"/>
      <c r="C23" s="344"/>
      <c r="D23" s="344"/>
      <c r="E23" s="344"/>
      <c r="F23" s="344"/>
      <c r="G23" s="357" t="s">
        <v>22</v>
      </c>
      <c r="H23" s="357"/>
      <c r="I23" s="357"/>
      <c r="J23" s="356"/>
    </row>
    <row r="24" spans="1:10" ht="17.25" outlineLevel="1">
      <c r="A24" s="349" t="s">
        <v>242</v>
      </c>
      <c r="B24" s="344"/>
      <c r="C24" s="344"/>
      <c r="D24" s="344"/>
      <c r="E24" s="344"/>
      <c r="F24" s="344"/>
      <c r="G24" s="350"/>
      <c r="H24" s="350"/>
      <c r="I24" s="350"/>
      <c r="J24" s="351"/>
    </row>
    <row r="25" spans="1:10" ht="32.25" outlineLevel="1">
      <c r="A25" s="349" t="s">
        <v>243</v>
      </c>
      <c r="B25" s="344"/>
      <c r="C25" s="344"/>
      <c r="D25" s="344"/>
      <c r="E25" s="344"/>
      <c r="F25" s="344"/>
      <c r="G25" s="345"/>
      <c r="H25" s="345"/>
      <c r="I25" s="345"/>
      <c r="J25" s="346"/>
    </row>
    <row r="26" spans="1:10" ht="17.25" outlineLevel="1">
      <c r="A26" s="349" t="s">
        <v>25</v>
      </c>
      <c r="B26" s="344"/>
      <c r="C26" s="344"/>
      <c r="D26" s="344"/>
      <c r="E26" s="344"/>
      <c r="F26" s="344"/>
      <c r="G26" s="350"/>
      <c r="H26" s="350"/>
      <c r="I26" s="350"/>
      <c r="J26" s="351"/>
    </row>
    <row r="27" spans="1:10" ht="17.25" customHeight="1" outlineLevel="1">
      <c r="A27" s="349" t="s">
        <v>26</v>
      </c>
      <c r="B27" s="344"/>
      <c r="C27" s="344"/>
      <c r="D27" s="344"/>
      <c r="E27" s="344"/>
      <c r="F27" s="344"/>
      <c r="G27" s="345"/>
      <c r="H27" s="345"/>
      <c r="I27" s="345"/>
      <c r="J27" s="346"/>
    </row>
    <row r="28" spans="1:10" ht="18.75" outlineLevel="1">
      <c r="A28" s="358" t="s">
        <v>244</v>
      </c>
      <c r="B28" s="358"/>
      <c r="C28" s="358"/>
      <c r="D28" s="358"/>
      <c r="E28" s="358"/>
      <c r="F28" s="358"/>
      <c r="G28" s="358"/>
      <c r="H28" s="358"/>
      <c r="I28" s="358"/>
      <c r="J28" s="358"/>
    </row>
    <row r="29" spans="1:10" ht="18.75" outlineLevel="1">
      <c r="A29" s="358"/>
      <c r="B29" s="358"/>
      <c r="C29" s="359"/>
      <c r="D29" s="359"/>
      <c r="E29" s="359"/>
      <c r="F29" s="359"/>
      <c r="G29" s="359"/>
      <c r="H29" s="359"/>
      <c r="I29" s="359"/>
      <c r="J29" s="359"/>
    </row>
    <row r="30" spans="1:10" ht="18.75" customHeight="1" outlineLevel="1">
      <c r="A30" s="358" t="s">
        <v>31</v>
      </c>
      <c r="B30" s="358"/>
      <c r="C30" s="358"/>
      <c r="D30" s="358"/>
      <c r="E30" s="358"/>
      <c r="F30" s="358"/>
      <c r="G30" s="358"/>
      <c r="H30" s="358"/>
      <c r="I30" s="358"/>
      <c r="J30" s="358"/>
    </row>
    <row r="31" spans="1:10" ht="18.75" outlineLevel="1">
      <c r="A31" s="1"/>
      <c r="B31" s="360"/>
      <c r="C31" s="361"/>
      <c r="D31" s="362"/>
      <c r="E31" s="362"/>
      <c r="F31" s="362"/>
      <c r="G31" s="362"/>
      <c r="H31" s="362"/>
      <c r="I31" s="362"/>
      <c r="J31" s="362"/>
    </row>
    <row r="32" spans="1:10" ht="33" customHeight="1">
      <c r="A32" s="363" t="s">
        <v>32</v>
      </c>
      <c r="B32" s="364" t="s">
        <v>33</v>
      </c>
      <c r="C32" s="365" t="s">
        <v>245</v>
      </c>
      <c r="D32" s="365" t="s">
        <v>246</v>
      </c>
      <c r="E32" s="366" t="s">
        <v>247</v>
      </c>
      <c r="F32" s="365" t="s">
        <v>248</v>
      </c>
      <c r="G32" s="365" t="s">
        <v>249</v>
      </c>
      <c r="H32" s="365"/>
      <c r="I32" s="365"/>
      <c r="J32" s="365"/>
    </row>
    <row r="33" spans="1:10" ht="17.25">
      <c r="A33" s="363"/>
      <c r="B33" s="364"/>
      <c r="C33" s="365"/>
      <c r="D33" s="365"/>
      <c r="E33" s="366"/>
      <c r="F33" s="365"/>
      <c r="G33" s="366" t="s">
        <v>250</v>
      </c>
      <c r="H33" s="366" t="s">
        <v>251</v>
      </c>
      <c r="I33" s="366" t="s">
        <v>252</v>
      </c>
      <c r="J33" s="366" t="s">
        <v>253</v>
      </c>
    </row>
    <row r="34" spans="1:10" ht="18">
      <c r="A34" s="363">
        <v>1</v>
      </c>
      <c r="B34" s="364">
        <v>2</v>
      </c>
      <c r="C34" s="365">
        <v>3</v>
      </c>
      <c r="D34" s="365">
        <v>4</v>
      </c>
      <c r="E34" s="365">
        <v>5</v>
      </c>
      <c r="F34" s="365">
        <v>6</v>
      </c>
      <c r="G34" s="365">
        <v>7</v>
      </c>
      <c r="H34" s="365">
        <v>8</v>
      </c>
      <c r="I34" s="365">
        <v>9</v>
      </c>
      <c r="J34" s="365">
        <v>10</v>
      </c>
    </row>
    <row r="35" spans="1:10" ht="17.25" customHeight="1">
      <c r="A35" s="367" t="s">
        <v>54</v>
      </c>
      <c r="B35" s="367"/>
      <c r="C35" s="367"/>
      <c r="D35" s="367"/>
      <c r="E35" s="367"/>
      <c r="F35" s="367"/>
      <c r="G35" s="367"/>
      <c r="H35" s="367"/>
      <c r="I35" s="367"/>
      <c r="J35" s="367"/>
    </row>
    <row r="36" spans="1:10" ht="20.25">
      <c r="A36" s="368" t="s">
        <v>254</v>
      </c>
      <c r="B36" s="369">
        <v>1000</v>
      </c>
      <c r="C36" s="370" t="e">
        <f aca="true" t="shared" si="0" ref="C36:C37">NA()</f>
        <v>#N/A</v>
      </c>
      <c r="D36" s="370" t="e">
        <f>NA()</f>
        <v>#N/A</v>
      </c>
      <c r="E36" s="370">
        <v>10200</v>
      </c>
      <c r="F36" s="370">
        <f aca="true" t="shared" si="1" ref="F36:F37">G36+H36+I36+J36</f>
        <v>19636</v>
      </c>
      <c r="G36" s="370">
        <v>4789.5</v>
      </c>
      <c r="H36" s="370">
        <v>5108.3</v>
      </c>
      <c r="I36" s="370">
        <v>4693.9</v>
      </c>
      <c r="J36" s="370">
        <v>5044.3</v>
      </c>
    </row>
    <row r="37" spans="1:10" ht="19.5">
      <c r="A37" s="368" t="s">
        <v>57</v>
      </c>
      <c r="B37" s="369">
        <v>1010</v>
      </c>
      <c r="C37" s="370" t="e">
        <f t="shared" si="0"/>
        <v>#N/A</v>
      </c>
      <c r="D37" s="370">
        <v>90349.1</v>
      </c>
      <c r="E37" s="370">
        <v>90359.7</v>
      </c>
      <c r="F37" s="370">
        <f t="shared" si="1"/>
        <v>102205.7</v>
      </c>
      <c r="G37" s="370">
        <v>27538.6</v>
      </c>
      <c r="H37" s="370">
        <v>26169.4</v>
      </c>
      <c r="I37" s="370">
        <v>23938.9</v>
      </c>
      <c r="J37" s="370">
        <v>24558.8</v>
      </c>
    </row>
    <row r="38" spans="1:10" ht="19.5">
      <c r="A38" s="371" t="s">
        <v>58</v>
      </c>
      <c r="B38" s="369">
        <v>1020</v>
      </c>
      <c r="C38" s="372" t="e">
        <f>C36-C37</f>
        <v>#N/A</v>
      </c>
      <c r="D38" s="372" t="e">
        <f>D36-D37</f>
        <v>#N/A</v>
      </c>
      <c r="E38" s="372">
        <f>E36-E37</f>
        <v>-80159.7</v>
      </c>
      <c r="F38" s="372">
        <f>F36-F37</f>
        <v>-82569.7</v>
      </c>
      <c r="G38" s="372">
        <f>G36-G37</f>
        <v>-22749.1</v>
      </c>
      <c r="H38" s="372">
        <f>H36-H37</f>
        <v>-21061.100000000002</v>
      </c>
      <c r="I38" s="372">
        <f>I36-I37</f>
        <v>-19245</v>
      </c>
      <c r="J38" s="372">
        <f>J36-J37</f>
        <v>-19514.5</v>
      </c>
    </row>
    <row r="39" spans="1:10" ht="20.25">
      <c r="A39" s="368" t="s">
        <v>255</v>
      </c>
      <c r="B39" s="369">
        <v>1030</v>
      </c>
      <c r="C39" s="370" t="e">
        <f>NA()</f>
        <v>#N/A</v>
      </c>
      <c r="D39" s="370">
        <v>3114.2</v>
      </c>
      <c r="E39" s="370">
        <v>3140.9</v>
      </c>
      <c r="F39" s="370">
        <f>G39+H39+I39+J39</f>
        <v>3094.2</v>
      </c>
      <c r="G39" s="370">
        <v>769.6</v>
      </c>
      <c r="H39" s="370">
        <v>736</v>
      </c>
      <c r="I39" s="370">
        <v>793.1</v>
      </c>
      <c r="J39" s="370">
        <v>795.5</v>
      </c>
    </row>
    <row r="40" spans="1:10" ht="19.5">
      <c r="A40" s="368" t="s">
        <v>65</v>
      </c>
      <c r="B40" s="369">
        <v>1060</v>
      </c>
      <c r="C40" s="370">
        <v>0</v>
      </c>
      <c r="D40" s="370">
        <v>0</v>
      </c>
      <c r="E40" s="370">
        <v>0</v>
      </c>
      <c r="F40" s="370">
        <v>0</v>
      </c>
      <c r="G40" s="370">
        <v>0</v>
      </c>
      <c r="H40" s="370">
        <v>0</v>
      </c>
      <c r="I40" s="370">
        <v>0</v>
      </c>
      <c r="J40" s="370">
        <v>0</v>
      </c>
    </row>
    <row r="41" spans="1:10" ht="20.25">
      <c r="A41" s="368" t="s">
        <v>256</v>
      </c>
      <c r="B41" s="369">
        <v>1070</v>
      </c>
      <c r="C41" s="370" t="e">
        <f aca="true" t="shared" si="2" ref="C41:C42">NA()</f>
        <v>#N/A</v>
      </c>
      <c r="D41" s="370">
        <v>81713.3</v>
      </c>
      <c r="E41" s="370">
        <v>75468.5</v>
      </c>
      <c r="F41" s="370">
        <f aca="true" t="shared" si="3" ref="F41:F42">G41+H41+I41+J41</f>
        <v>84463.90000000001</v>
      </c>
      <c r="G41" s="370">
        <v>23206.7</v>
      </c>
      <c r="H41" s="370">
        <v>21707.4</v>
      </c>
      <c r="I41" s="370">
        <v>19728.1</v>
      </c>
      <c r="J41" s="370">
        <v>19821.7</v>
      </c>
    </row>
    <row r="42" spans="1:10" ht="19.5">
      <c r="A42" s="368" t="s">
        <v>98</v>
      </c>
      <c r="B42" s="369">
        <v>1080</v>
      </c>
      <c r="C42" s="370" t="e">
        <f t="shared" si="2"/>
        <v>#N/A</v>
      </c>
      <c r="D42" s="370">
        <v>700</v>
      </c>
      <c r="E42" s="370">
        <v>1381.2</v>
      </c>
      <c r="F42" s="370">
        <f t="shared" si="3"/>
        <v>800</v>
      </c>
      <c r="G42" s="370">
        <v>188</v>
      </c>
      <c r="H42" s="370">
        <v>410.3</v>
      </c>
      <c r="I42" s="370">
        <v>190</v>
      </c>
      <c r="J42" s="370">
        <v>11.7</v>
      </c>
    </row>
    <row r="43" spans="1:10" ht="20.25">
      <c r="A43" s="373" t="s">
        <v>71</v>
      </c>
      <c r="B43" s="369">
        <v>1100</v>
      </c>
      <c r="C43" s="372" t="e">
        <f>C36+C41-C37-C39-C42</f>
        <v>#N/A</v>
      </c>
      <c r="D43" s="372" t="e">
        <f>D36+D41-D37-D39-D42</f>
        <v>#N/A</v>
      </c>
      <c r="E43" s="372">
        <f>E36+E41-E37-E39-E42</f>
        <v>-9213.299999999997</v>
      </c>
      <c r="F43" s="372">
        <f>F36+F41-F37-F39-F42</f>
        <v>-1999.9999999999882</v>
      </c>
      <c r="G43" s="372">
        <f>G36+G41-G37-G39-G42</f>
        <v>-499.99999999999784</v>
      </c>
      <c r="H43" s="372">
        <f>H36+H41-H37-H39-H42</f>
        <v>-500.00000000000074</v>
      </c>
      <c r="I43" s="372">
        <f>I36+I41-I37-I39-I42</f>
        <v>-500.0000000000015</v>
      </c>
      <c r="J43" s="372">
        <f>J36+J41-J37-J39-J42</f>
        <v>-499.99999999999926</v>
      </c>
    </row>
    <row r="44" spans="1:10" ht="20.25">
      <c r="A44" s="374" t="s">
        <v>257</v>
      </c>
      <c r="B44" s="369">
        <v>1110</v>
      </c>
      <c r="C44" s="370">
        <v>0</v>
      </c>
      <c r="D44" s="370">
        <v>0</v>
      </c>
      <c r="E44" s="370">
        <v>0</v>
      </c>
      <c r="F44" s="370">
        <v>0</v>
      </c>
      <c r="G44" s="370">
        <v>0</v>
      </c>
      <c r="H44" s="370">
        <v>0</v>
      </c>
      <c r="I44" s="370">
        <v>0</v>
      </c>
      <c r="J44" s="370">
        <v>0</v>
      </c>
    </row>
    <row r="45" spans="1:10" ht="20.25">
      <c r="A45" s="374" t="s">
        <v>75</v>
      </c>
      <c r="B45" s="369">
        <v>1120</v>
      </c>
      <c r="C45" s="370">
        <v>0</v>
      </c>
      <c r="D45" s="370">
        <v>0</v>
      </c>
      <c r="E45" s="370">
        <v>0</v>
      </c>
      <c r="F45" s="370">
        <v>0</v>
      </c>
      <c r="G45" s="370">
        <v>0</v>
      </c>
      <c r="H45" s="370">
        <v>0</v>
      </c>
      <c r="I45" s="370">
        <v>0</v>
      </c>
      <c r="J45" s="370">
        <v>0</v>
      </c>
    </row>
    <row r="46" spans="1:10" ht="20.25">
      <c r="A46" s="374" t="s">
        <v>76</v>
      </c>
      <c r="B46" s="369">
        <v>1130</v>
      </c>
      <c r="C46" s="370">
        <v>0</v>
      </c>
      <c r="D46" s="370">
        <v>0</v>
      </c>
      <c r="E46" s="370">
        <v>0</v>
      </c>
      <c r="F46" s="370">
        <v>0</v>
      </c>
      <c r="G46" s="370">
        <v>0</v>
      </c>
      <c r="H46" s="370">
        <v>0</v>
      </c>
      <c r="I46" s="370">
        <v>0</v>
      </c>
      <c r="J46" s="370">
        <v>0</v>
      </c>
    </row>
    <row r="47" spans="1:10" ht="18.75">
      <c r="A47" s="374" t="s">
        <v>77</v>
      </c>
      <c r="B47" s="369">
        <v>1140</v>
      </c>
      <c r="C47" s="370" t="e">
        <f aca="true" t="shared" si="4" ref="C47:C48">NA()</f>
        <v>#N/A</v>
      </c>
      <c r="D47" s="370" t="e">
        <f aca="true" t="shared" si="5" ref="D47:D48">NA()</f>
        <v>#N/A</v>
      </c>
      <c r="E47" s="370">
        <v>0</v>
      </c>
      <c r="F47" s="370">
        <f aca="true" t="shared" si="6" ref="F47:F48">G47+H47+I47+J47</f>
        <v>0</v>
      </c>
      <c r="G47" s="370">
        <v>0</v>
      </c>
      <c r="H47" s="370">
        <v>0</v>
      </c>
      <c r="I47" s="370">
        <v>0</v>
      </c>
      <c r="J47" s="370">
        <v>0</v>
      </c>
    </row>
    <row r="48" spans="1:10" ht="20.25">
      <c r="A48" s="374" t="s">
        <v>258</v>
      </c>
      <c r="B48" s="369">
        <v>1150</v>
      </c>
      <c r="C48" s="370" t="e">
        <f t="shared" si="4"/>
        <v>#N/A</v>
      </c>
      <c r="D48" s="370" t="e">
        <f t="shared" si="5"/>
        <v>#N/A</v>
      </c>
      <c r="E48" s="370">
        <v>1000</v>
      </c>
      <c r="F48" s="370">
        <f t="shared" si="6"/>
        <v>2000</v>
      </c>
      <c r="G48" s="370">
        <v>500</v>
      </c>
      <c r="H48" s="370">
        <v>500</v>
      </c>
      <c r="I48" s="370">
        <v>500</v>
      </c>
      <c r="J48" s="370">
        <v>500</v>
      </c>
    </row>
    <row r="49" spans="1:10" ht="20.25">
      <c r="A49" s="368" t="s">
        <v>259</v>
      </c>
      <c r="B49" s="369">
        <v>1160</v>
      </c>
      <c r="C49" s="370">
        <v>0</v>
      </c>
      <c r="D49" s="370">
        <v>0</v>
      </c>
      <c r="E49" s="370">
        <v>0</v>
      </c>
      <c r="F49" s="370">
        <v>0</v>
      </c>
      <c r="G49" s="370">
        <v>0</v>
      </c>
      <c r="H49" s="370">
        <v>0</v>
      </c>
      <c r="I49" s="370">
        <v>0</v>
      </c>
      <c r="J49" s="370">
        <v>0</v>
      </c>
    </row>
    <row r="50" spans="1:10" ht="20.25">
      <c r="A50" s="375" t="s">
        <v>80</v>
      </c>
      <c r="B50" s="369">
        <v>1170</v>
      </c>
      <c r="C50" s="372" t="e">
        <f>C43-C47+C48</f>
        <v>#N/A</v>
      </c>
      <c r="D50" s="372" t="e">
        <f>D43-D47+D48</f>
        <v>#N/A</v>
      </c>
      <c r="E50" s="372">
        <f>E43-E47+E48</f>
        <v>-8213.299999999997</v>
      </c>
      <c r="F50" s="372">
        <f>F43-F47+F48</f>
        <v>1.1823431123048067E-11</v>
      </c>
      <c r="G50" s="372">
        <f>G43-G47+G48</f>
        <v>2.1600499167107046E-12</v>
      </c>
      <c r="H50" s="372">
        <f>H43-H47+H48</f>
        <v>0</v>
      </c>
      <c r="I50" s="372">
        <f>I43-I47+I48</f>
        <v>0</v>
      </c>
      <c r="J50" s="372">
        <f>J43-J47+J48</f>
        <v>0</v>
      </c>
    </row>
    <row r="51" spans="1:10" ht="19.5">
      <c r="A51" s="374" t="s">
        <v>81</v>
      </c>
      <c r="B51" s="376">
        <v>1180</v>
      </c>
      <c r="C51" s="370" t="e">
        <f>NA()</f>
        <v>#N/A</v>
      </c>
      <c r="D51" s="370" t="e">
        <f>NA()</f>
        <v>#N/A</v>
      </c>
      <c r="E51" s="370">
        <v>0</v>
      </c>
      <c r="F51" s="370">
        <f>G51+H51+I51+J51</f>
        <v>0</v>
      </c>
      <c r="G51" s="370">
        <v>0</v>
      </c>
      <c r="H51" s="370">
        <v>0</v>
      </c>
      <c r="I51" s="370">
        <v>0</v>
      </c>
      <c r="J51" s="370">
        <v>0</v>
      </c>
    </row>
    <row r="52" spans="1:10" ht="20.25">
      <c r="A52" s="374" t="s">
        <v>260</v>
      </c>
      <c r="B52" s="376">
        <v>1181</v>
      </c>
      <c r="C52" s="370">
        <v>0</v>
      </c>
      <c r="D52" s="370">
        <v>0</v>
      </c>
      <c r="E52" s="370">
        <v>0</v>
      </c>
      <c r="F52" s="370">
        <v>0</v>
      </c>
      <c r="G52" s="370">
        <v>0</v>
      </c>
      <c r="H52" s="370">
        <v>0</v>
      </c>
      <c r="I52" s="370">
        <v>0</v>
      </c>
      <c r="J52" s="370">
        <v>0</v>
      </c>
    </row>
    <row r="53" spans="1:10" ht="20.25">
      <c r="A53" s="374" t="s">
        <v>83</v>
      </c>
      <c r="B53" s="369">
        <v>1190</v>
      </c>
      <c r="C53" s="370">
        <v>0</v>
      </c>
      <c r="D53" s="370">
        <v>0</v>
      </c>
      <c r="E53" s="370">
        <v>0</v>
      </c>
      <c r="F53" s="370">
        <v>0</v>
      </c>
      <c r="G53" s="370">
        <v>0</v>
      </c>
      <c r="H53" s="370">
        <v>0</v>
      </c>
      <c r="I53" s="370">
        <v>0</v>
      </c>
      <c r="J53" s="370">
        <v>0</v>
      </c>
    </row>
    <row r="54" spans="1:10" ht="20.25">
      <c r="A54" s="374" t="s">
        <v>84</v>
      </c>
      <c r="B54" s="369">
        <v>1191</v>
      </c>
      <c r="C54" s="370">
        <v>0</v>
      </c>
      <c r="D54" s="370">
        <v>0</v>
      </c>
      <c r="E54" s="370">
        <v>0</v>
      </c>
      <c r="F54" s="370">
        <v>0</v>
      </c>
      <c r="G54" s="370">
        <v>0</v>
      </c>
      <c r="H54" s="370">
        <v>0</v>
      </c>
      <c r="I54" s="370">
        <v>0</v>
      </c>
      <c r="J54" s="370">
        <v>0</v>
      </c>
    </row>
    <row r="55" spans="1:10" ht="20.25">
      <c r="A55" s="373" t="s">
        <v>85</v>
      </c>
      <c r="B55" s="369">
        <v>1200</v>
      </c>
      <c r="C55" s="372" t="e">
        <f>NA()</f>
        <v>#N/A</v>
      </c>
      <c r="D55" s="372" t="e">
        <f>NA()</f>
        <v>#N/A</v>
      </c>
      <c r="E55" s="372">
        <v>-8213.3</v>
      </c>
      <c r="F55" s="372">
        <f>F36+F41+F48-F37-F39-F42</f>
        <v>1.1823431123048067E-11</v>
      </c>
      <c r="G55" s="372">
        <f>G36+G41+G48-G37-G39-G42</f>
        <v>2.1600499167107046E-12</v>
      </c>
      <c r="H55" s="372">
        <f>H36+H41+H48-H37-H39-H42</f>
        <v>0</v>
      </c>
      <c r="I55" s="372">
        <f>I36+I41+I48-I37-I39-I42</f>
        <v>-1.4779288903810084E-12</v>
      </c>
      <c r="J55" s="372">
        <f>J36+J41+J48-J37-J39-J42</f>
        <v>7.283063041541027E-13</v>
      </c>
    </row>
    <row r="56" spans="1:10" ht="20.25">
      <c r="A56" s="374" t="s">
        <v>86</v>
      </c>
      <c r="B56" s="369">
        <v>1201</v>
      </c>
      <c r="C56" s="370">
        <v>0</v>
      </c>
      <c r="D56" s="370">
        <v>0</v>
      </c>
      <c r="E56" s="370">
        <v>0</v>
      </c>
      <c r="F56" s="370">
        <v>0</v>
      </c>
      <c r="G56" s="370">
        <v>0</v>
      </c>
      <c r="H56" s="370">
        <v>0</v>
      </c>
      <c r="I56" s="370">
        <v>0</v>
      </c>
      <c r="J56" s="370">
        <v>0</v>
      </c>
    </row>
    <row r="57" spans="1:10" ht="19.5">
      <c r="A57" s="374" t="s">
        <v>87</v>
      </c>
      <c r="B57" s="369">
        <v>1202</v>
      </c>
      <c r="C57" s="370" t="e">
        <f>NA()</f>
        <v>#N/A</v>
      </c>
      <c r="D57" s="370" t="e">
        <f>NA()</f>
        <v>#N/A</v>
      </c>
      <c r="E57" s="372">
        <v>-8213.3</v>
      </c>
      <c r="F57" s="370">
        <f>G57+H57+I57+J57</f>
        <v>0</v>
      </c>
      <c r="G57" s="370">
        <v>0</v>
      </c>
      <c r="H57" s="370">
        <v>0</v>
      </c>
      <c r="I57" s="370">
        <v>0</v>
      </c>
      <c r="J57" s="370">
        <v>0</v>
      </c>
    </row>
    <row r="58" spans="1:10" ht="18.75" customHeight="1">
      <c r="A58" s="377" t="s">
        <v>100</v>
      </c>
      <c r="B58" s="377"/>
      <c r="C58" s="377"/>
      <c r="D58" s="377"/>
      <c r="E58" s="377"/>
      <c r="F58" s="377"/>
      <c r="G58" s="377"/>
      <c r="H58" s="377"/>
      <c r="I58" s="377"/>
      <c r="J58" s="377"/>
    </row>
    <row r="59" spans="1:10" ht="34.5">
      <c r="A59" s="378" t="s">
        <v>261</v>
      </c>
      <c r="B59" s="379">
        <v>2110</v>
      </c>
      <c r="C59" s="372">
        <v>20579.9</v>
      </c>
      <c r="D59" s="372">
        <v>16384.8</v>
      </c>
      <c r="E59" s="372">
        <v>16684.8</v>
      </c>
      <c r="F59" s="372">
        <v>16906.1</v>
      </c>
      <c r="G59" s="370">
        <v>4063.4</v>
      </c>
      <c r="H59" s="370">
        <v>4112.1</v>
      </c>
      <c r="I59" s="370">
        <v>4366</v>
      </c>
      <c r="J59" s="370">
        <v>4364.6</v>
      </c>
    </row>
    <row r="60" spans="1:10" ht="18.75" customHeight="1">
      <c r="A60" s="380" t="s">
        <v>262</v>
      </c>
      <c r="B60" s="380"/>
      <c r="C60" s="380"/>
      <c r="D60" s="380"/>
      <c r="E60" s="380"/>
      <c r="F60" s="380"/>
      <c r="G60" s="380"/>
      <c r="H60" s="380"/>
      <c r="I60" s="380"/>
      <c r="J60" s="380"/>
    </row>
    <row r="61" spans="1:10" ht="20.25">
      <c r="A61" s="381">
        <v>1</v>
      </c>
      <c r="B61" s="382">
        <v>2</v>
      </c>
      <c r="C61" s="383">
        <v>3</v>
      </c>
      <c r="D61" s="383">
        <v>4</v>
      </c>
      <c r="E61" s="383">
        <v>5</v>
      </c>
      <c r="F61" s="383">
        <v>6</v>
      </c>
      <c r="G61" s="383">
        <v>7</v>
      </c>
      <c r="H61" s="383">
        <v>8</v>
      </c>
      <c r="I61" s="383">
        <v>9</v>
      </c>
      <c r="J61" s="383">
        <v>10</v>
      </c>
    </row>
    <row r="62" spans="1:10" ht="37.5">
      <c r="A62" s="378" t="s">
        <v>263</v>
      </c>
      <c r="B62" s="379">
        <v>2120</v>
      </c>
      <c r="C62" s="372">
        <f>C63+C64+C65+C66+C67+C68+C69</f>
        <v>7038.4</v>
      </c>
      <c r="D62" s="372">
        <f>D63+D64+D65+D66+D67+D68+D69</f>
        <v>8495.1</v>
      </c>
      <c r="E62" s="372">
        <f>E63+E64+E65+E66+E67+E68+E69</f>
        <v>8586.6</v>
      </c>
      <c r="F62" s="372">
        <f>F63+F64+F65+F66+F67+F68+F69</f>
        <v>8481.9</v>
      </c>
      <c r="G62" s="372">
        <f>G63+G64+G65+G66+G67+G68+G69</f>
        <v>2248.5</v>
      </c>
      <c r="H62" s="372">
        <f>H63+H64+H65+H66+H67+H68+H69</f>
        <v>2090.6000000000004</v>
      </c>
      <c r="I62" s="372">
        <f>I63+I64+I65+I66+I67+I68+I69</f>
        <v>2084.2000000000003</v>
      </c>
      <c r="J62" s="372">
        <f>J63+J64+J65+J66+J67+J68+J69</f>
        <v>2058.6</v>
      </c>
    </row>
    <row r="63" spans="1:10" ht="20.25">
      <c r="A63" s="384" t="s">
        <v>264</v>
      </c>
      <c r="B63" s="379">
        <v>2121</v>
      </c>
      <c r="C63" s="370">
        <v>6624.3</v>
      </c>
      <c r="D63" s="370">
        <v>8479.6</v>
      </c>
      <c r="E63" s="370">
        <v>8571.1</v>
      </c>
      <c r="F63" s="370">
        <v>8466.4</v>
      </c>
      <c r="G63" s="370">
        <v>2244.7</v>
      </c>
      <c r="H63" s="370">
        <v>2086.8</v>
      </c>
      <c r="I63" s="370">
        <v>2080.4</v>
      </c>
      <c r="J63" s="370">
        <v>2054.5</v>
      </c>
    </row>
    <row r="64" spans="1:10" ht="20.25">
      <c r="A64" s="384" t="s">
        <v>265</v>
      </c>
      <c r="B64" s="379">
        <v>2122</v>
      </c>
      <c r="C64" s="370">
        <v>15.5</v>
      </c>
      <c r="D64" s="370">
        <v>15.5</v>
      </c>
      <c r="E64" s="370">
        <v>15.5</v>
      </c>
      <c r="F64" s="370">
        <v>15.5</v>
      </c>
      <c r="G64" s="370">
        <v>3.8</v>
      </c>
      <c r="H64" s="370">
        <v>3.8</v>
      </c>
      <c r="I64" s="370">
        <v>3.8</v>
      </c>
      <c r="J64" s="370">
        <v>4.1</v>
      </c>
    </row>
    <row r="65" spans="1:10" ht="34.5">
      <c r="A65" s="385" t="s">
        <v>266</v>
      </c>
      <c r="B65" s="386">
        <v>2123</v>
      </c>
      <c r="C65" s="370">
        <v>392.2</v>
      </c>
      <c r="D65" s="370">
        <v>0</v>
      </c>
      <c r="E65" s="370">
        <v>0</v>
      </c>
      <c r="F65" s="370">
        <v>0</v>
      </c>
      <c r="G65" s="370">
        <v>0</v>
      </c>
      <c r="H65" s="370">
        <v>0</v>
      </c>
      <c r="I65" s="370">
        <v>0</v>
      </c>
      <c r="J65" s="370">
        <v>0</v>
      </c>
    </row>
    <row r="66" spans="1:10" ht="37.5">
      <c r="A66" s="385" t="s">
        <v>267</v>
      </c>
      <c r="B66" s="387">
        <v>2124</v>
      </c>
      <c r="C66" s="370">
        <v>6.4</v>
      </c>
      <c r="D66" s="370">
        <v>0</v>
      </c>
      <c r="E66" s="370">
        <v>0</v>
      </c>
      <c r="F66" s="370">
        <v>0</v>
      </c>
      <c r="G66" s="370">
        <v>0</v>
      </c>
      <c r="H66" s="370">
        <v>0</v>
      </c>
      <c r="I66" s="370">
        <v>0</v>
      </c>
      <c r="J66" s="370">
        <v>0</v>
      </c>
    </row>
    <row r="67" spans="1:10" ht="37.5">
      <c r="A67" s="385" t="s">
        <v>268</v>
      </c>
      <c r="B67" s="387">
        <v>2125</v>
      </c>
      <c r="C67" s="370">
        <v>0</v>
      </c>
      <c r="D67" s="370">
        <v>0</v>
      </c>
      <c r="E67" s="370">
        <v>0</v>
      </c>
      <c r="F67" s="370">
        <v>0</v>
      </c>
      <c r="G67" s="370">
        <v>0</v>
      </c>
      <c r="H67" s="370">
        <v>0</v>
      </c>
      <c r="I67" s="370">
        <v>0</v>
      </c>
      <c r="J67" s="370">
        <v>0</v>
      </c>
    </row>
    <row r="68" spans="1:10" ht="20.25">
      <c r="A68" s="388" t="s">
        <v>269</v>
      </c>
      <c r="B68" s="386">
        <v>2126</v>
      </c>
      <c r="C68" s="370">
        <v>0</v>
      </c>
      <c r="D68" s="370">
        <v>0</v>
      </c>
      <c r="E68" s="370">
        <v>0</v>
      </c>
      <c r="F68" s="370">
        <v>0</v>
      </c>
      <c r="G68" s="370">
        <v>0</v>
      </c>
      <c r="H68" s="370">
        <v>0</v>
      </c>
      <c r="I68" s="370">
        <v>0</v>
      </c>
      <c r="J68" s="370">
        <v>0</v>
      </c>
    </row>
    <row r="69" spans="1:10" ht="20.25">
      <c r="A69" s="388" t="s">
        <v>270</v>
      </c>
      <c r="B69" s="386">
        <v>2127</v>
      </c>
      <c r="C69" s="370">
        <v>0</v>
      </c>
      <c r="D69" s="370">
        <v>0</v>
      </c>
      <c r="E69" s="370">
        <v>0</v>
      </c>
      <c r="F69" s="370">
        <v>0</v>
      </c>
      <c r="G69" s="370">
        <v>0</v>
      </c>
      <c r="H69" s="370">
        <v>0</v>
      </c>
      <c r="I69" s="370">
        <v>0</v>
      </c>
      <c r="J69" s="370">
        <v>0</v>
      </c>
    </row>
    <row r="70" spans="1:10" ht="37.5">
      <c r="A70" s="389" t="s">
        <v>125</v>
      </c>
      <c r="B70" s="386">
        <v>2130</v>
      </c>
      <c r="C70" s="390">
        <v>20579.9</v>
      </c>
      <c r="D70" s="372">
        <v>14864.1</v>
      </c>
      <c r="E70" s="372">
        <v>15000</v>
      </c>
      <c r="F70" s="372">
        <v>16906.1</v>
      </c>
      <c r="G70" s="370">
        <v>4063.4</v>
      </c>
      <c r="H70" s="370">
        <v>4112.1</v>
      </c>
      <c r="I70" s="370">
        <v>4366</v>
      </c>
      <c r="J70" s="370">
        <v>4364.6</v>
      </c>
    </row>
    <row r="71" spans="1:10" ht="35.25">
      <c r="A71" s="391" t="s">
        <v>127</v>
      </c>
      <c r="B71" s="376">
        <v>2131</v>
      </c>
      <c r="C71" s="392">
        <v>15879.9</v>
      </c>
      <c r="D71" s="392">
        <v>10364.1</v>
      </c>
      <c r="E71" s="392">
        <v>10475.8</v>
      </c>
      <c r="F71" s="392">
        <f>G71+H71+I71+J71</f>
        <v>10347.8</v>
      </c>
      <c r="G71" s="392">
        <v>2743.5</v>
      </c>
      <c r="H71" s="392">
        <v>2550.6</v>
      </c>
      <c r="I71" s="392">
        <v>2542.7</v>
      </c>
      <c r="J71" s="392">
        <v>2511</v>
      </c>
    </row>
    <row r="72" spans="1:10" ht="20.25">
      <c r="A72" s="378" t="s">
        <v>271</v>
      </c>
      <c r="B72" s="376">
        <v>2200</v>
      </c>
      <c r="C72" s="390">
        <f>C59+C62</f>
        <v>27618.300000000003</v>
      </c>
      <c r="D72" s="390">
        <f>D59+D62</f>
        <v>24879.9</v>
      </c>
      <c r="E72" s="390">
        <f>E59+E62</f>
        <v>25271.4</v>
      </c>
      <c r="F72" s="390">
        <f>F59+F62</f>
        <v>25388</v>
      </c>
      <c r="G72" s="390">
        <f>G59+G62</f>
        <v>6311.9</v>
      </c>
      <c r="H72" s="390">
        <f>H59+H62</f>
        <v>6202.700000000001</v>
      </c>
      <c r="I72" s="390">
        <f>I59+I62</f>
        <v>6450.200000000001</v>
      </c>
      <c r="J72" s="390">
        <f>J59+J62</f>
        <v>6423.200000000001</v>
      </c>
    </row>
    <row r="73" spans="1:10" ht="18.75" customHeight="1">
      <c r="A73" s="377" t="s">
        <v>272</v>
      </c>
      <c r="B73" s="377"/>
      <c r="C73" s="377"/>
      <c r="D73" s="377"/>
      <c r="E73" s="377"/>
      <c r="F73" s="377"/>
      <c r="G73" s="377"/>
      <c r="H73" s="377"/>
      <c r="I73" s="377"/>
      <c r="J73" s="377"/>
    </row>
    <row r="74" spans="1:10" ht="18.75">
      <c r="A74" s="393" t="s">
        <v>273</v>
      </c>
      <c r="B74" s="369">
        <v>3405</v>
      </c>
      <c r="C74" s="372">
        <v>16.5</v>
      </c>
      <c r="D74" s="372">
        <v>0</v>
      </c>
      <c r="E74" s="372">
        <v>0</v>
      </c>
      <c r="F74" s="394">
        <v>132.5</v>
      </c>
      <c r="G74" s="395">
        <v>0</v>
      </c>
      <c r="H74" s="395">
        <v>0</v>
      </c>
      <c r="I74" s="395">
        <v>0</v>
      </c>
      <c r="J74" s="395">
        <v>0</v>
      </c>
    </row>
    <row r="75" spans="1:10" ht="18.75">
      <c r="A75" s="396" t="s">
        <v>137</v>
      </c>
      <c r="B75" s="369">
        <v>3415</v>
      </c>
      <c r="C75" s="372">
        <v>142.4</v>
      </c>
      <c r="D75" s="372">
        <v>0</v>
      </c>
      <c r="E75" s="372">
        <v>0</v>
      </c>
      <c r="F75" s="394">
        <v>140</v>
      </c>
      <c r="G75" s="395">
        <v>0</v>
      </c>
      <c r="H75" s="395">
        <v>0</v>
      </c>
      <c r="I75" s="395">
        <v>0</v>
      </c>
      <c r="J75" s="395">
        <v>0</v>
      </c>
    </row>
    <row r="76" spans="1:10" ht="18.75" customHeight="1">
      <c r="A76" s="397" t="s">
        <v>274</v>
      </c>
      <c r="B76" s="397"/>
      <c r="C76" s="397"/>
      <c r="D76" s="397"/>
      <c r="E76" s="397"/>
      <c r="F76" s="397"/>
      <c r="G76" s="397"/>
      <c r="H76" s="397"/>
      <c r="I76" s="397"/>
      <c r="J76" s="397"/>
    </row>
    <row r="77" spans="1:10" ht="20.25">
      <c r="A77" s="391" t="s">
        <v>275</v>
      </c>
      <c r="B77" s="369">
        <v>4000</v>
      </c>
      <c r="C77" s="370">
        <v>9420.5</v>
      </c>
      <c r="D77" s="370">
        <v>82902.7</v>
      </c>
      <c r="E77" s="370">
        <v>82902.7</v>
      </c>
      <c r="F77" s="392">
        <f>G77+H77+I77+J77</f>
        <v>9560</v>
      </c>
      <c r="G77" s="370">
        <v>4360</v>
      </c>
      <c r="H77" s="370">
        <v>4100</v>
      </c>
      <c r="I77" s="370">
        <v>750</v>
      </c>
      <c r="J77" s="370">
        <v>350</v>
      </c>
    </row>
    <row r="78" spans="1:10" ht="20.25" customHeight="1">
      <c r="A78" s="398" t="s">
        <v>178</v>
      </c>
      <c r="B78" s="398"/>
      <c r="C78" s="398"/>
      <c r="D78" s="398"/>
      <c r="E78" s="398"/>
      <c r="F78" s="398"/>
      <c r="G78" s="398"/>
      <c r="H78" s="398"/>
      <c r="I78" s="398"/>
      <c r="J78" s="398"/>
    </row>
    <row r="79" spans="1:10" ht="20.25">
      <c r="A79" s="399" t="s">
        <v>179</v>
      </c>
      <c r="B79" s="400">
        <v>5040</v>
      </c>
      <c r="C79" s="401">
        <v>0</v>
      </c>
      <c r="D79" s="401">
        <v>0</v>
      </c>
      <c r="E79" s="401">
        <v>0</v>
      </c>
      <c r="F79" s="401">
        <v>0</v>
      </c>
      <c r="G79" s="401">
        <v>0</v>
      </c>
      <c r="H79" s="401">
        <v>0</v>
      </c>
      <c r="I79" s="401">
        <v>0</v>
      </c>
      <c r="J79" s="401">
        <v>0</v>
      </c>
    </row>
    <row r="80" spans="1:10" ht="18.75">
      <c r="A80" s="399" t="s">
        <v>185</v>
      </c>
      <c r="B80" s="400">
        <v>6000</v>
      </c>
      <c r="C80" s="370">
        <v>43903.4</v>
      </c>
      <c r="D80" s="370">
        <v>43979.8</v>
      </c>
      <c r="E80" s="370">
        <v>43979.8</v>
      </c>
      <c r="F80" s="395">
        <v>53000</v>
      </c>
      <c r="G80" s="395">
        <v>0</v>
      </c>
      <c r="H80" s="395">
        <v>0</v>
      </c>
      <c r="I80" s="395">
        <v>0</v>
      </c>
      <c r="J80" s="395">
        <v>0</v>
      </c>
    </row>
    <row r="81" spans="1:10" ht="18.75">
      <c r="A81" s="399" t="s">
        <v>276</v>
      </c>
      <c r="B81" s="400">
        <v>6001</v>
      </c>
      <c r="C81" s="370">
        <v>35282.7</v>
      </c>
      <c r="D81" s="370">
        <v>39851.2</v>
      </c>
      <c r="E81" s="370">
        <v>39851.2</v>
      </c>
      <c r="F81" s="395">
        <v>42000</v>
      </c>
      <c r="G81" s="395">
        <v>0</v>
      </c>
      <c r="H81" s="395">
        <v>0</v>
      </c>
      <c r="I81" s="395">
        <v>0</v>
      </c>
      <c r="J81" s="395">
        <v>0</v>
      </c>
    </row>
    <row r="82" spans="1:10" ht="18.75">
      <c r="A82" s="399" t="s">
        <v>188</v>
      </c>
      <c r="B82" s="400">
        <v>6002</v>
      </c>
      <c r="C82" s="370">
        <v>92845.4</v>
      </c>
      <c r="D82" s="370">
        <v>101194.9</v>
      </c>
      <c r="E82" s="370">
        <v>101194.9</v>
      </c>
      <c r="F82" s="395">
        <v>105000</v>
      </c>
      <c r="G82" s="395">
        <v>0</v>
      </c>
      <c r="H82" s="395">
        <v>0</v>
      </c>
      <c r="I82" s="395">
        <v>0</v>
      </c>
      <c r="J82" s="395">
        <v>0</v>
      </c>
    </row>
    <row r="83" spans="1:10" ht="18.75">
      <c r="A83" s="399" t="s">
        <v>189</v>
      </c>
      <c r="B83" s="400">
        <v>6003</v>
      </c>
      <c r="C83" s="370">
        <v>57562.7</v>
      </c>
      <c r="D83" s="370">
        <v>61343.7</v>
      </c>
      <c r="E83" s="370">
        <v>61343.7</v>
      </c>
      <c r="F83" s="395">
        <v>64000</v>
      </c>
      <c r="G83" s="395">
        <v>0</v>
      </c>
      <c r="H83" s="395">
        <v>0</v>
      </c>
      <c r="I83" s="395">
        <v>0</v>
      </c>
      <c r="J83" s="395">
        <v>0</v>
      </c>
    </row>
    <row r="84" spans="1:10" ht="18.75">
      <c r="A84" s="391" t="s">
        <v>190</v>
      </c>
      <c r="B84" s="369">
        <v>6010</v>
      </c>
      <c r="C84" s="370">
        <v>4994.9</v>
      </c>
      <c r="D84" s="370">
        <v>18847.4</v>
      </c>
      <c r="E84" s="370">
        <v>18847.4</v>
      </c>
      <c r="F84" s="395">
        <v>16000</v>
      </c>
      <c r="G84" s="395">
        <v>0</v>
      </c>
      <c r="H84" s="395">
        <v>0</v>
      </c>
      <c r="I84" s="395">
        <v>0</v>
      </c>
      <c r="J84" s="395">
        <v>0</v>
      </c>
    </row>
    <row r="85" spans="1:10" ht="18.75">
      <c r="A85" s="391" t="s">
        <v>277</v>
      </c>
      <c r="B85" s="369">
        <v>6011</v>
      </c>
      <c r="C85" s="370">
        <v>142.4</v>
      </c>
      <c r="D85" s="370">
        <v>49.2</v>
      </c>
      <c r="E85" s="370">
        <v>49.2</v>
      </c>
      <c r="F85" s="395">
        <v>460</v>
      </c>
      <c r="G85" s="395">
        <v>0</v>
      </c>
      <c r="H85" s="395">
        <v>0</v>
      </c>
      <c r="I85" s="395">
        <v>0</v>
      </c>
      <c r="J85" s="395">
        <v>0</v>
      </c>
    </row>
    <row r="86" spans="1:10" ht="18.75">
      <c r="A86" s="378" t="s">
        <v>192</v>
      </c>
      <c r="B86" s="369">
        <v>6020</v>
      </c>
      <c r="C86" s="370">
        <f>C80+C84</f>
        <v>48898.3</v>
      </c>
      <c r="D86" s="370">
        <f>D80+D84</f>
        <v>62827.200000000004</v>
      </c>
      <c r="E86" s="370"/>
      <c r="F86" s="395">
        <f>F80+F84</f>
        <v>69000</v>
      </c>
      <c r="G86" s="395">
        <v>0</v>
      </c>
      <c r="H86" s="395">
        <v>0</v>
      </c>
      <c r="I86" s="395">
        <v>0</v>
      </c>
      <c r="J86" s="395">
        <v>0</v>
      </c>
    </row>
    <row r="87" spans="1:10" ht="18.75">
      <c r="A87" s="391" t="s">
        <v>278</v>
      </c>
      <c r="B87" s="369">
        <v>6030</v>
      </c>
      <c r="C87" s="370">
        <v>1687.5</v>
      </c>
      <c r="D87" s="370">
        <v>1744.8</v>
      </c>
      <c r="E87" s="370">
        <v>1744.8</v>
      </c>
      <c r="F87" s="395">
        <v>1200</v>
      </c>
      <c r="G87" s="395">
        <v>0</v>
      </c>
      <c r="H87" s="395">
        <v>0</v>
      </c>
      <c r="I87" s="395">
        <v>0</v>
      </c>
      <c r="J87" s="395">
        <v>0</v>
      </c>
    </row>
    <row r="88" spans="1:10" ht="18.75">
      <c r="A88" s="391" t="s">
        <v>279</v>
      </c>
      <c r="B88" s="369">
        <v>6040</v>
      </c>
      <c r="C88" s="370">
        <v>11124.7</v>
      </c>
      <c r="D88" s="370">
        <v>29061</v>
      </c>
      <c r="E88" s="370">
        <v>29061</v>
      </c>
      <c r="F88" s="395">
        <v>30200</v>
      </c>
      <c r="G88" s="395">
        <v>0</v>
      </c>
      <c r="H88" s="395">
        <v>0</v>
      </c>
      <c r="I88" s="395">
        <v>0</v>
      </c>
      <c r="J88" s="395">
        <v>0</v>
      </c>
    </row>
    <row r="89" spans="1:10" ht="18.75">
      <c r="A89" s="378" t="s">
        <v>280</v>
      </c>
      <c r="B89" s="369">
        <v>6050</v>
      </c>
      <c r="C89" s="372">
        <f>C87+C88</f>
        <v>12812.2</v>
      </c>
      <c r="D89" s="372">
        <f>D87+D88</f>
        <v>30805.8</v>
      </c>
      <c r="E89" s="372">
        <f>E87+E88</f>
        <v>30805.8</v>
      </c>
      <c r="F89" s="394">
        <f>F87+F88</f>
        <v>31400</v>
      </c>
      <c r="G89" s="395">
        <v>0</v>
      </c>
      <c r="H89" s="395">
        <v>0</v>
      </c>
      <c r="I89" s="395">
        <v>0</v>
      </c>
      <c r="J89" s="395">
        <v>0</v>
      </c>
    </row>
    <row r="90" spans="1:10" ht="18.75">
      <c r="A90" s="391" t="s">
        <v>281</v>
      </c>
      <c r="B90" s="369">
        <v>6060</v>
      </c>
      <c r="C90" s="370">
        <v>0</v>
      </c>
      <c r="D90" s="370">
        <v>0</v>
      </c>
      <c r="E90" s="370">
        <v>0</v>
      </c>
      <c r="F90" s="402">
        <v>0</v>
      </c>
      <c r="G90" s="402">
        <v>0</v>
      </c>
      <c r="H90" s="402">
        <v>0</v>
      </c>
      <c r="I90" s="402">
        <v>0</v>
      </c>
      <c r="J90" s="402">
        <v>0</v>
      </c>
    </row>
    <row r="91" spans="1:10" ht="18.75">
      <c r="A91" s="391" t="s">
        <v>197</v>
      </c>
      <c r="B91" s="369">
        <v>6070</v>
      </c>
      <c r="C91" s="370">
        <v>0</v>
      </c>
      <c r="D91" s="370">
        <v>0</v>
      </c>
      <c r="E91" s="370">
        <v>0</v>
      </c>
      <c r="F91" s="402">
        <v>0</v>
      </c>
      <c r="G91" s="402">
        <v>0</v>
      </c>
      <c r="H91" s="402">
        <v>0</v>
      </c>
      <c r="I91" s="402">
        <v>0</v>
      </c>
      <c r="J91" s="402">
        <v>0</v>
      </c>
    </row>
    <row r="92" spans="1:10" ht="18.75">
      <c r="A92" s="378" t="s">
        <v>198</v>
      </c>
      <c r="B92" s="369">
        <v>6080</v>
      </c>
      <c r="C92" s="370">
        <v>36086.1</v>
      </c>
      <c r="D92" s="370">
        <v>32021.4</v>
      </c>
      <c r="E92" s="370">
        <v>32021.4</v>
      </c>
      <c r="F92" s="395">
        <v>37069.3</v>
      </c>
      <c r="G92" s="395">
        <v>0</v>
      </c>
      <c r="H92" s="395">
        <v>0</v>
      </c>
      <c r="I92" s="395">
        <v>0</v>
      </c>
      <c r="J92" s="395">
        <v>0</v>
      </c>
    </row>
    <row r="93" spans="1:10" ht="18.75" customHeight="1">
      <c r="A93" s="377" t="s">
        <v>199</v>
      </c>
      <c r="B93" s="377"/>
      <c r="C93" s="377"/>
      <c r="D93" s="377"/>
      <c r="E93" s="377"/>
      <c r="F93" s="377"/>
      <c r="G93" s="377"/>
      <c r="H93" s="377"/>
      <c r="I93" s="377"/>
      <c r="J93" s="377"/>
    </row>
    <row r="94" spans="1:10" ht="20.25">
      <c r="A94" s="393" t="s">
        <v>200</v>
      </c>
      <c r="B94" s="403" t="s">
        <v>201</v>
      </c>
      <c r="C94" s="370">
        <v>0</v>
      </c>
      <c r="D94" s="370">
        <v>0</v>
      </c>
      <c r="E94" s="370">
        <v>0</v>
      </c>
      <c r="F94" s="370">
        <v>0</v>
      </c>
      <c r="G94" s="370">
        <v>0</v>
      </c>
      <c r="H94" s="370">
        <v>0</v>
      </c>
      <c r="I94" s="370">
        <v>0</v>
      </c>
      <c r="J94" s="370">
        <v>0</v>
      </c>
    </row>
    <row r="95" spans="1:10" ht="20.25">
      <c r="A95" s="391" t="s">
        <v>202</v>
      </c>
      <c r="B95" s="404" t="s">
        <v>203</v>
      </c>
      <c r="C95" s="370">
        <v>0</v>
      </c>
      <c r="D95" s="370">
        <v>0</v>
      </c>
      <c r="E95" s="370">
        <v>0</v>
      </c>
      <c r="F95" s="370">
        <v>0</v>
      </c>
      <c r="G95" s="370">
        <v>0</v>
      </c>
      <c r="H95" s="370">
        <v>0</v>
      </c>
      <c r="I95" s="370">
        <v>0</v>
      </c>
      <c r="J95" s="370">
        <v>0</v>
      </c>
    </row>
    <row r="96" spans="1:10" ht="20.25">
      <c r="A96" s="391" t="s">
        <v>204</v>
      </c>
      <c r="B96" s="404" t="s">
        <v>205</v>
      </c>
      <c r="C96" s="370">
        <v>0</v>
      </c>
      <c r="D96" s="370">
        <v>0</v>
      </c>
      <c r="E96" s="370">
        <v>0</v>
      </c>
      <c r="F96" s="370">
        <v>0</v>
      </c>
      <c r="G96" s="370">
        <v>0</v>
      </c>
      <c r="H96" s="370">
        <v>0</v>
      </c>
      <c r="I96" s="370">
        <v>0</v>
      </c>
      <c r="J96" s="370">
        <v>0</v>
      </c>
    </row>
    <row r="97" spans="1:10" ht="20.25">
      <c r="A97" s="391" t="s">
        <v>206</v>
      </c>
      <c r="B97" s="404" t="s">
        <v>207</v>
      </c>
      <c r="C97" s="370">
        <v>0</v>
      </c>
      <c r="D97" s="370">
        <v>0</v>
      </c>
      <c r="E97" s="370">
        <v>0</v>
      </c>
      <c r="F97" s="370">
        <v>0</v>
      </c>
      <c r="G97" s="370">
        <v>0</v>
      </c>
      <c r="H97" s="370">
        <v>0</v>
      </c>
      <c r="I97" s="370">
        <v>0</v>
      </c>
      <c r="J97" s="370">
        <v>0</v>
      </c>
    </row>
    <row r="98" spans="1:10" ht="20.25">
      <c r="A98" s="378" t="s">
        <v>208</v>
      </c>
      <c r="B98" s="404" t="s">
        <v>209</v>
      </c>
      <c r="C98" s="370">
        <v>0</v>
      </c>
      <c r="D98" s="370">
        <v>0</v>
      </c>
      <c r="E98" s="370">
        <v>0</v>
      </c>
      <c r="F98" s="370">
        <v>0</v>
      </c>
      <c r="G98" s="370">
        <v>0</v>
      </c>
      <c r="H98" s="370">
        <v>0</v>
      </c>
      <c r="I98" s="370">
        <v>0</v>
      </c>
      <c r="J98" s="370">
        <v>0</v>
      </c>
    </row>
    <row r="99" spans="1:10" ht="20.25">
      <c r="A99" s="391" t="s">
        <v>202</v>
      </c>
      <c r="B99" s="404" t="s">
        <v>210</v>
      </c>
      <c r="C99" s="370">
        <v>0</v>
      </c>
      <c r="D99" s="370">
        <v>0</v>
      </c>
      <c r="E99" s="370">
        <v>0</v>
      </c>
      <c r="F99" s="370">
        <v>0</v>
      </c>
      <c r="G99" s="370">
        <v>0</v>
      </c>
      <c r="H99" s="370">
        <v>0</v>
      </c>
      <c r="I99" s="370">
        <v>0</v>
      </c>
      <c r="J99" s="370">
        <v>0</v>
      </c>
    </row>
    <row r="100" spans="1:10" ht="20.25">
      <c r="A100" s="391" t="s">
        <v>204</v>
      </c>
      <c r="B100" s="404" t="s">
        <v>211</v>
      </c>
      <c r="C100" s="370">
        <v>0</v>
      </c>
      <c r="D100" s="370">
        <v>0</v>
      </c>
      <c r="E100" s="370">
        <v>0</v>
      </c>
      <c r="F100" s="370">
        <v>0</v>
      </c>
      <c r="G100" s="370">
        <v>0</v>
      </c>
      <c r="H100" s="370">
        <v>0</v>
      </c>
      <c r="I100" s="370">
        <v>0</v>
      </c>
      <c r="J100" s="370">
        <v>0</v>
      </c>
    </row>
    <row r="101" spans="1:10" ht="20.25">
      <c r="A101" s="405" t="s">
        <v>206</v>
      </c>
      <c r="B101" s="406" t="s">
        <v>212</v>
      </c>
      <c r="C101" s="370">
        <v>0</v>
      </c>
      <c r="D101" s="370">
        <v>0</v>
      </c>
      <c r="E101" s="370">
        <v>0</v>
      </c>
      <c r="F101" s="370">
        <v>0</v>
      </c>
      <c r="G101" s="370">
        <v>0</v>
      </c>
      <c r="H101" s="370">
        <v>0</v>
      </c>
      <c r="I101" s="370">
        <v>0</v>
      </c>
      <c r="J101" s="370">
        <v>0</v>
      </c>
    </row>
    <row r="102" spans="1:10" ht="18.75" customHeight="1">
      <c r="A102" s="377" t="s">
        <v>213</v>
      </c>
      <c r="B102" s="377"/>
      <c r="C102" s="377"/>
      <c r="D102" s="377"/>
      <c r="E102" s="377"/>
      <c r="F102" s="377"/>
      <c r="G102" s="377"/>
      <c r="H102" s="377"/>
      <c r="I102" s="377"/>
      <c r="J102" s="377"/>
    </row>
    <row r="103" spans="1:10" ht="48">
      <c r="A103" s="378" t="s">
        <v>282</v>
      </c>
      <c r="B103" s="404" t="s">
        <v>215</v>
      </c>
      <c r="C103" s="407">
        <v>966</v>
      </c>
      <c r="D103" s="408">
        <v>996</v>
      </c>
      <c r="E103" s="408">
        <v>960</v>
      </c>
      <c r="F103" s="407">
        <v>955</v>
      </c>
      <c r="G103" s="407">
        <v>955</v>
      </c>
      <c r="H103" s="407">
        <f>H104+H105+H106</f>
        <v>955</v>
      </c>
      <c r="I103" s="407">
        <v>955</v>
      </c>
      <c r="J103" s="407">
        <f>J104+J105+J106</f>
        <v>955</v>
      </c>
    </row>
    <row r="104" spans="1:10" ht="20.25">
      <c r="A104" s="374" t="s">
        <v>216</v>
      </c>
      <c r="B104" s="404" t="s">
        <v>217</v>
      </c>
      <c r="C104" s="409">
        <v>1</v>
      </c>
      <c r="D104" s="410">
        <v>1</v>
      </c>
      <c r="E104" s="409">
        <v>1</v>
      </c>
      <c r="F104" s="411">
        <v>1</v>
      </c>
      <c r="G104" s="412">
        <v>1</v>
      </c>
      <c r="H104" s="412">
        <v>1</v>
      </c>
      <c r="I104" s="412">
        <v>1</v>
      </c>
      <c r="J104" s="412">
        <v>1</v>
      </c>
    </row>
    <row r="105" spans="1:10" ht="20.25">
      <c r="A105" s="374" t="s">
        <v>218</v>
      </c>
      <c r="B105" s="404" t="s">
        <v>219</v>
      </c>
      <c r="C105" s="413">
        <v>29</v>
      </c>
      <c r="D105" s="413">
        <v>31</v>
      </c>
      <c r="E105" s="413">
        <v>31</v>
      </c>
      <c r="F105" s="411">
        <v>31</v>
      </c>
      <c r="G105" s="412">
        <v>31</v>
      </c>
      <c r="H105" s="412">
        <v>31</v>
      </c>
      <c r="I105" s="412">
        <v>31</v>
      </c>
      <c r="J105" s="412">
        <v>31</v>
      </c>
    </row>
    <row r="106" spans="1:10" ht="18.75">
      <c r="A106" s="414" t="s">
        <v>220</v>
      </c>
      <c r="B106" s="415" t="s">
        <v>221</v>
      </c>
      <c r="C106" s="416">
        <v>936</v>
      </c>
      <c r="D106" s="416">
        <v>964</v>
      </c>
      <c r="E106" s="416">
        <v>928</v>
      </c>
      <c r="F106" s="417">
        <v>923</v>
      </c>
      <c r="G106" s="418">
        <v>923</v>
      </c>
      <c r="H106" s="418">
        <v>923</v>
      </c>
      <c r="I106" s="418">
        <v>923</v>
      </c>
      <c r="J106" s="419">
        <v>923</v>
      </c>
    </row>
    <row r="107" spans="1:10" ht="18.75" customHeight="1">
      <c r="A107" s="380" t="s">
        <v>262</v>
      </c>
      <c r="B107" s="380"/>
      <c r="C107" s="380"/>
      <c r="D107" s="380"/>
      <c r="E107" s="380"/>
      <c r="F107" s="380"/>
      <c r="G107" s="380"/>
      <c r="H107" s="380"/>
      <c r="I107" s="380"/>
      <c r="J107" s="380"/>
    </row>
    <row r="108" spans="1:10" ht="20.25">
      <c r="A108" s="381">
        <v>1</v>
      </c>
      <c r="B108" s="382">
        <v>2</v>
      </c>
      <c r="C108" s="383">
        <v>3</v>
      </c>
      <c r="D108" s="383">
        <v>4</v>
      </c>
      <c r="E108" s="383">
        <v>5</v>
      </c>
      <c r="F108" s="383">
        <v>6</v>
      </c>
      <c r="G108" s="383">
        <v>7</v>
      </c>
      <c r="H108" s="383">
        <v>8</v>
      </c>
      <c r="I108" s="383">
        <v>9</v>
      </c>
      <c r="J108" s="383">
        <v>10</v>
      </c>
    </row>
    <row r="109" spans="1:10" ht="20.25">
      <c r="A109" s="378" t="s">
        <v>95</v>
      </c>
      <c r="B109" s="404" t="s">
        <v>222</v>
      </c>
      <c r="C109" s="390">
        <v>42483.9</v>
      </c>
      <c r="D109" s="390">
        <v>47109</v>
      </c>
      <c r="E109" s="390">
        <v>47617.2</v>
      </c>
      <c r="F109" s="390">
        <f>G109+H109+I109+J109</f>
        <v>47035.399999999994</v>
      </c>
      <c r="G109" s="370">
        <v>12470.6</v>
      </c>
      <c r="H109" s="370">
        <v>11593.4</v>
      </c>
      <c r="I109" s="370">
        <v>11557.7</v>
      </c>
      <c r="J109" s="370">
        <v>11413.7</v>
      </c>
    </row>
    <row r="110" spans="1:10" ht="37.5">
      <c r="A110" s="378" t="s">
        <v>283</v>
      </c>
      <c r="B110" s="404" t="s">
        <v>225</v>
      </c>
      <c r="C110" s="420">
        <v>3665</v>
      </c>
      <c r="D110" s="420">
        <v>3942</v>
      </c>
      <c r="E110" s="420">
        <v>3984</v>
      </c>
      <c r="F110" s="420">
        <v>4104</v>
      </c>
      <c r="G110" s="370">
        <v>4353</v>
      </c>
      <c r="H110" s="370">
        <v>4047</v>
      </c>
      <c r="I110" s="370">
        <v>4034</v>
      </c>
      <c r="J110" s="370">
        <v>3984</v>
      </c>
    </row>
    <row r="111" spans="1:10" ht="20.25">
      <c r="A111" s="374" t="s">
        <v>216</v>
      </c>
      <c r="B111" s="404" t="s">
        <v>226</v>
      </c>
      <c r="C111" s="421">
        <v>9875</v>
      </c>
      <c r="D111" s="421">
        <v>12742</v>
      </c>
      <c r="E111" s="421">
        <v>12742</v>
      </c>
      <c r="F111" s="421">
        <v>13567</v>
      </c>
      <c r="G111" s="421">
        <v>13567</v>
      </c>
      <c r="H111" s="421">
        <v>13567</v>
      </c>
      <c r="I111" s="421">
        <v>13567</v>
      </c>
      <c r="J111" s="421">
        <v>13567</v>
      </c>
    </row>
    <row r="112" spans="1:10" ht="20.25">
      <c r="A112" s="374" t="s">
        <v>218</v>
      </c>
      <c r="B112" s="404" t="s">
        <v>227</v>
      </c>
      <c r="C112" s="421">
        <v>5016</v>
      </c>
      <c r="D112" s="421">
        <v>5314</v>
      </c>
      <c r="E112" s="421">
        <v>5314</v>
      </c>
      <c r="F112" s="421">
        <v>5562</v>
      </c>
      <c r="G112" s="370">
        <v>5562</v>
      </c>
      <c r="H112" s="370">
        <v>5562</v>
      </c>
      <c r="I112" s="370">
        <v>5562</v>
      </c>
      <c r="J112" s="370">
        <v>5562</v>
      </c>
    </row>
    <row r="113" spans="1:10" ht="20.25">
      <c r="A113" s="374" t="s">
        <v>220</v>
      </c>
      <c r="B113" s="404" t="s">
        <v>228</v>
      </c>
      <c r="C113" s="421">
        <v>3616</v>
      </c>
      <c r="D113" s="421">
        <v>3888</v>
      </c>
      <c r="E113" s="421">
        <v>4078</v>
      </c>
      <c r="F113" s="421">
        <v>4045</v>
      </c>
      <c r="G113" s="370">
        <v>4302</v>
      </c>
      <c r="H113" s="370">
        <v>3985</v>
      </c>
      <c r="I113" s="370">
        <v>3972</v>
      </c>
      <c r="J113" s="370">
        <v>3920</v>
      </c>
    </row>
    <row r="114" spans="1:10" ht="18.75">
      <c r="A114" s="422"/>
      <c r="B114" s="2"/>
      <c r="C114" s="423"/>
      <c r="D114" s="424"/>
      <c r="E114" s="424"/>
      <c r="F114" s="424"/>
      <c r="G114" s="425"/>
      <c r="H114" s="425"/>
      <c r="I114" s="425"/>
      <c r="J114" s="425"/>
    </row>
    <row r="115" spans="1:10" ht="88.5" customHeight="1">
      <c r="A115" s="426" t="s">
        <v>284</v>
      </c>
      <c r="B115" s="2"/>
      <c r="C115" s="427" t="s">
        <v>285</v>
      </c>
      <c r="D115" s="427"/>
      <c r="E115" s="427"/>
      <c r="F115" s="427"/>
      <c r="G115" s="428"/>
      <c r="H115" s="70" t="s">
        <v>286</v>
      </c>
      <c r="I115" s="70"/>
      <c r="J115" s="70"/>
    </row>
    <row r="116" spans="1:10" ht="18.75">
      <c r="A116" s="429"/>
      <c r="B116" s="2"/>
      <c r="C116" s="427"/>
      <c r="D116" s="427"/>
      <c r="E116" s="427"/>
      <c r="F116" s="427"/>
      <c r="G116" s="428"/>
      <c r="H116" s="70"/>
      <c r="I116" s="70"/>
      <c r="J116" s="70"/>
    </row>
    <row r="117" spans="1:10" ht="16.5" customHeight="1">
      <c r="A117" s="430"/>
      <c r="B117" s="326"/>
      <c r="C117" s="323" t="s">
        <v>287</v>
      </c>
      <c r="D117" s="323"/>
      <c r="E117" s="323"/>
      <c r="F117" s="323"/>
      <c r="G117" s="334"/>
      <c r="H117" s="431" t="s">
        <v>288</v>
      </c>
      <c r="I117" s="431"/>
      <c r="J117" s="431"/>
    </row>
    <row r="118" spans="1:10" ht="18.75">
      <c r="A118" s="1" t="s">
        <v>289</v>
      </c>
      <c r="B118" s="322"/>
      <c r="C118" s="320"/>
      <c r="D118" s="320"/>
      <c r="E118" s="320"/>
      <c r="F118" s="70"/>
      <c r="G118" s="70"/>
      <c r="H118" s="70"/>
      <c r="I118" s="70"/>
      <c r="J118" s="70"/>
    </row>
    <row r="119" spans="1:10" ht="18.75" customHeight="1">
      <c r="A119" s="432" t="s">
        <v>290</v>
      </c>
      <c r="B119" s="432"/>
      <c r="C119" s="320"/>
      <c r="D119" s="320"/>
      <c r="E119" s="320"/>
      <c r="F119" s="70"/>
      <c r="G119" s="70"/>
      <c r="H119" s="70"/>
      <c r="I119" s="70"/>
      <c r="J119" s="70"/>
    </row>
    <row r="120" spans="1:10" ht="18.75" customHeight="1">
      <c r="A120" s="433" t="s">
        <v>291</v>
      </c>
      <c r="B120" s="433"/>
      <c r="C120" s="320"/>
      <c r="D120" s="320"/>
      <c r="E120" s="320"/>
      <c r="F120" s="70"/>
      <c r="G120" s="70"/>
      <c r="H120" s="70"/>
      <c r="I120" s="70"/>
      <c r="J120" s="70"/>
    </row>
    <row r="121" spans="1:10" ht="18.75">
      <c r="A121" s="434" t="s">
        <v>292</v>
      </c>
      <c r="B121" s="434"/>
      <c r="C121" s="320"/>
      <c r="D121" s="320"/>
      <c r="E121" s="320"/>
      <c r="F121" s="70"/>
      <c r="G121" s="70"/>
      <c r="H121" s="70"/>
      <c r="I121" s="70"/>
      <c r="J121" s="70"/>
    </row>
    <row r="122" spans="1:10" ht="18.75" customHeight="1">
      <c r="A122" s="330" t="s">
        <v>293</v>
      </c>
      <c r="B122" s="330"/>
      <c r="C122" s="320"/>
      <c r="D122" s="320"/>
      <c r="E122" s="320"/>
      <c r="F122" s="70"/>
      <c r="G122" s="70"/>
      <c r="H122" s="70"/>
      <c r="I122" s="70"/>
      <c r="J122" s="70"/>
    </row>
    <row r="123" spans="1:10" ht="18.75">
      <c r="A123" s="430" t="s">
        <v>294</v>
      </c>
      <c r="B123" s="330"/>
      <c r="C123" s="320"/>
      <c r="D123" s="320"/>
      <c r="E123" s="320"/>
      <c r="F123" s="70"/>
      <c r="G123" s="70"/>
      <c r="H123" s="70"/>
      <c r="I123" s="70"/>
      <c r="J123" s="70"/>
    </row>
    <row r="124" spans="1:10" ht="18.75">
      <c r="A124" s="341" t="s">
        <v>295</v>
      </c>
      <c r="B124" s="2"/>
      <c r="C124" s="320"/>
      <c r="D124" s="320"/>
      <c r="E124" s="320"/>
      <c r="F124" s="70"/>
      <c r="G124" s="70"/>
      <c r="H124" s="70"/>
      <c r="I124" s="70"/>
      <c r="J124" s="70"/>
    </row>
    <row r="125" spans="1:10" ht="18.75">
      <c r="A125" s="1"/>
      <c r="B125" s="2"/>
      <c r="C125" s="320"/>
      <c r="D125" s="320"/>
      <c r="E125" s="320"/>
      <c r="F125" s="70"/>
      <c r="G125" s="70"/>
      <c r="H125" s="70"/>
      <c r="I125" s="70"/>
      <c r="J125" s="70"/>
    </row>
    <row r="126" spans="1:10" ht="18.75" customHeight="1">
      <c r="A126" s="432" t="s">
        <v>296</v>
      </c>
      <c r="B126" s="432"/>
      <c r="C126" s="320"/>
      <c r="D126" s="320"/>
      <c r="E126" s="320"/>
      <c r="F126" s="70"/>
      <c r="G126" s="70"/>
      <c r="H126" s="70"/>
      <c r="I126" s="70"/>
      <c r="J126" s="70"/>
    </row>
    <row r="127" spans="1:10" ht="18.75" customHeight="1">
      <c r="A127" s="433" t="s">
        <v>291</v>
      </c>
      <c r="B127" s="433"/>
      <c r="C127" s="320"/>
      <c r="D127" s="320"/>
      <c r="E127" s="320"/>
      <c r="F127" s="70"/>
      <c r="G127" s="70"/>
      <c r="H127" s="70"/>
      <c r="I127" s="70"/>
      <c r="J127" s="70"/>
    </row>
    <row r="128" spans="1:10" ht="18.75">
      <c r="A128" s="434" t="s">
        <v>297</v>
      </c>
      <c r="B128" s="434"/>
      <c r="C128" s="320"/>
      <c r="D128" s="320"/>
      <c r="E128" s="320"/>
      <c r="F128" s="70"/>
      <c r="G128" s="70"/>
      <c r="H128" s="70"/>
      <c r="I128" s="70"/>
      <c r="J128" s="70"/>
    </row>
    <row r="129" spans="1:10" ht="18.75" customHeight="1">
      <c r="A129" s="330" t="s">
        <v>293</v>
      </c>
      <c r="B129" s="330"/>
      <c r="C129" s="320"/>
      <c r="D129" s="320"/>
      <c r="E129" s="320"/>
      <c r="F129" s="70"/>
      <c r="G129" s="70"/>
      <c r="H129" s="70"/>
      <c r="I129" s="70"/>
      <c r="J129" s="70"/>
    </row>
    <row r="130" spans="1:10" ht="18.75">
      <c r="A130" s="430" t="s">
        <v>294</v>
      </c>
      <c r="B130" s="330"/>
      <c r="C130" s="320"/>
      <c r="D130" s="320"/>
      <c r="E130" s="320"/>
      <c r="F130" s="70"/>
      <c r="G130" s="70"/>
      <c r="H130" s="70"/>
      <c r="I130" s="70"/>
      <c r="J130" s="70"/>
    </row>
    <row r="131" spans="1:10" ht="18.75">
      <c r="A131" s="341" t="s">
        <v>295</v>
      </c>
      <c r="B131" s="2"/>
      <c r="C131" s="320"/>
      <c r="D131" s="320"/>
      <c r="E131" s="320"/>
      <c r="F131" s="70"/>
      <c r="G131" s="70"/>
      <c r="H131" s="70"/>
      <c r="I131" s="70"/>
      <c r="J131" s="70"/>
    </row>
    <row r="132" spans="1:10" ht="18.75">
      <c r="A132" s="1"/>
      <c r="B132" s="2"/>
      <c r="C132" s="320"/>
      <c r="D132" s="320"/>
      <c r="E132" s="320"/>
      <c r="F132" s="70"/>
      <c r="G132" s="70"/>
      <c r="H132" s="70"/>
      <c r="I132" s="70"/>
      <c r="J132" s="70"/>
    </row>
    <row r="133" spans="1:10" ht="18.75" customHeight="1">
      <c r="A133" s="432" t="s">
        <v>298</v>
      </c>
      <c r="B133" s="432"/>
      <c r="C133" s="320"/>
      <c r="D133" s="320"/>
      <c r="E133" s="320"/>
      <c r="F133" s="70"/>
      <c r="G133" s="70"/>
      <c r="H133" s="70"/>
      <c r="I133" s="70"/>
      <c r="J133" s="70"/>
    </row>
    <row r="134" spans="1:10" ht="18.75">
      <c r="A134" s="432" t="s">
        <v>299</v>
      </c>
      <c r="B134" s="432"/>
      <c r="C134" s="320"/>
      <c r="D134" s="320"/>
      <c r="E134" s="320"/>
      <c r="F134" s="70"/>
      <c r="G134" s="70"/>
      <c r="H134" s="70"/>
      <c r="I134" s="70"/>
      <c r="J134" s="70"/>
    </row>
    <row r="135" spans="1:10" ht="18.75" customHeight="1">
      <c r="A135" s="433" t="s">
        <v>291</v>
      </c>
      <c r="B135" s="433"/>
      <c r="C135" s="320"/>
      <c r="D135" s="320"/>
      <c r="E135" s="320"/>
      <c r="F135" s="70"/>
      <c r="G135" s="70"/>
      <c r="H135" s="70"/>
      <c r="I135" s="70"/>
      <c r="J135" s="70"/>
    </row>
    <row r="136" spans="1:10" ht="18.75">
      <c r="A136" s="434" t="s">
        <v>300</v>
      </c>
      <c r="B136" s="434"/>
      <c r="C136" s="320"/>
      <c r="D136" s="320"/>
      <c r="E136" s="320"/>
      <c r="F136" s="70"/>
      <c r="G136" s="70"/>
      <c r="H136" s="70"/>
      <c r="I136" s="70"/>
      <c r="J136" s="70"/>
    </row>
    <row r="137" spans="1:10" ht="18.75" customHeight="1">
      <c r="A137" s="330" t="s">
        <v>293</v>
      </c>
      <c r="B137" s="330"/>
      <c r="C137" s="320"/>
      <c r="D137" s="320"/>
      <c r="E137" s="320"/>
      <c r="F137" s="70"/>
      <c r="G137" s="70"/>
      <c r="H137" s="70"/>
      <c r="I137" s="70"/>
      <c r="J137" s="70"/>
    </row>
    <row r="138" spans="1:10" ht="18.75">
      <c r="A138" s="430" t="s">
        <v>294</v>
      </c>
      <c r="B138" s="330"/>
      <c r="C138" s="320"/>
      <c r="D138" s="320"/>
      <c r="E138" s="320"/>
      <c r="F138" s="70"/>
      <c r="G138" s="70"/>
      <c r="H138" s="70"/>
      <c r="I138" s="70"/>
      <c r="J138" s="70"/>
    </row>
    <row r="139" spans="1:10" ht="18.75">
      <c r="A139" s="341" t="s">
        <v>295</v>
      </c>
      <c r="B139" s="2"/>
      <c r="C139" s="320"/>
      <c r="D139" s="320"/>
      <c r="E139" s="320"/>
      <c r="F139" s="70"/>
      <c r="G139" s="70"/>
      <c r="H139" s="70"/>
      <c r="I139" s="70"/>
      <c r="J139" s="70"/>
    </row>
  </sheetData>
  <sheetProtection selectLockedCells="1" selectUnlockedCells="1"/>
  <mergeCells count="58">
    <mergeCell ref="B1:J1"/>
    <mergeCell ref="E2:J5"/>
    <mergeCell ref="E7:F7"/>
    <mergeCell ref="A8:B8"/>
    <mergeCell ref="E8:J8"/>
    <mergeCell ref="A9:B9"/>
    <mergeCell ref="E9:J9"/>
    <mergeCell ref="A11:B11"/>
    <mergeCell ref="E11:J11"/>
    <mergeCell ref="A12:B12"/>
    <mergeCell ref="A13:B13"/>
    <mergeCell ref="A14:B14"/>
    <mergeCell ref="G14:J14"/>
    <mergeCell ref="B15:F15"/>
    <mergeCell ref="B16:F16"/>
    <mergeCell ref="B17:F17"/>
    <mergeCell ref="B18:F18"/>
    <mergeCell ref="B19:F19"/>
    <mergeCell ref="B20:F20"/>
    <mergeCell ref="B21:F21"/>
    <mergeCell ref="B22:I22"/>
    <mergeCell ref="B23:F23"/>
    <mergeCell ref="G23:I23"/>
    <mergeCell ref="B24:F24"/>
    <mergeCell ref="B25:F25"/>
    <mergeCell ref="B26:F26"/>
    <mergeCell ref="B27:F27"/>
    <mergeCell ref="A28:J28"/>
    <mergeCell ref="A30:J30"/>
    <mergeCell ref="A32:A33"/>
    <mergeCell ref="B32:B33"/>
    <mergeCell ref="C32:C33"/>
    <mergeCell ref="D32:D33"/>
    <mergeCell ref="E32:E33"/>
    <mergeCell ref="F32:F33"/>
    <mergeCell ref="G32:J32"/>
    <mergeCell ref="A35:J35"/>
    <mergeCell ref="A58:J58"/>
    <mergeCell ref="A60:J60"/>
    <mergeCell ref="A73:J73"/>
    <mergeCell ref="A76:J76"/>
    <mergeCell ref="A78:J78"/>
    <mergeCell ref="A93:J93"/>
    <mergeCell ref="A102:J102"/>
    <mergeCell ref="A107:J107"/>
    <mergeCell ref="C115:F115"/>
    <mergeCell ref="H115:J115"/>
    <mergeCell ref="C117:F117"/>
    <mergeCell ref="H117:J117"/>
    <mergeCell ref="A119:B119"/>
    <mergeCell ref="A120:B120"/>
    <mergeCell ref="A122:B122"/>
    <mergeCell ref="A126:B126"/>
    <mergeCell ref="A127:B127"/>
    <mergeCell ref="A129:B129"/>
    <mergeCell ref="A133:B133"/>
    <mergeCell ref="A135:B135"/>
    <mergeCell ref="A137:B13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6"/>
  <sheetViews>
    <sheetView view="pageBreakPreview" zoomScale="65" zoomScaleNormal="65" zoomScaleSheetLayoutView="6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7" sqref="B7"/>
    </sheetView>
  </sheetViews>
  <sheetFormatPr defaultColWidth="11.00390625" defaultRowHeight="12.75"/>
  <cols>
    <col min="1" max="1" width="62.625" style="0" customWidth="1"/>
    <col min="2" max="2" width="17.875" style="0" customWidth="1"/>
    <col min="3" max="5" width="0" style="0" hidden="1" customWidth="1"/>
    <col min="6" max="10" width="17.875" style="0" customWidth="1"/>
    <col min="11" max="11" width="35.75390625" style="0" customWidth="1"/>
    <col min="12" max="16384" width="11.50390625" style="0" customWidth="1"/>
  </cols>
  <sheetData>
    <row r="1" spans="1:11" ht="18.75" customHeight="1">
      <c r="A1" s="435" t="s">
        <v>301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</row>
    <row r="2" spans="1:11" ht="18.75">
      <c r="A2" s="435"/>
      <c r="B2" s="436"/>
      <c r="C2" s="437"/>
      <c r="D2" s="437"/>
      <c r="E2" s="438"/>
      <c r="F2" s="437"/>
      <c r="G2" s="437"/>
      <c r="H2" s="437"/>
      <c r="I2" s="437"/>
      <c r="J2" s="437"/>
      <c r="K2" s="439"/>
    </row>
    <row r="3" spans="1:11" ht="25.5" customHeight="1">
      <c r="A3" s="440" t="s">
        <v>32</v>
      </c>
      <c r="B3" s="441" t="s">
        <v>33</v>
      </c>
      <c r="C3" s="442" t="s">
        <v>245</v>
      </c>
      <c r="D3" s="442" t="s">
        <v>302</v>
      </c>
      <c r="E3" s="443" t="s">
        <v>247</v>
      </c>
      <c r="F3" s="442" t="s">
        <v>303</v>
      </c>
      <c r="G3" s="442" t="s">
        <v>304</v>
      </c>
      <c r="H3" s="442"/>
      <c r="I3" s="442"/>
      <c r="J3" s="442"/>
      <c r="K3" s="441" t="s">
        <v>305</v>
      </c>
    </row>
    <row r="4" spans="1:11" ht="29.25" customHeight="1">
      <c r="A4" s="440"/>
      <c r="B4" s="441"/>
      <c r="C4" s="442"/>
      <c r="D4" s="442"/>
      <c r="E4" s="443"/>
      <c r="F4" s="442"/>
      <c r="G4" s="443" t="s">
        <v>250</v>
      </c>
      <c r="H4" s="443" t="s">
        <v>251</v>
      </c>
      <c r="I4" s="443" t="s">
        <v>252</v>
      </c>
      <c r="J4" s="443" t="s">
        <v>253</v>
      </c>
      <c r="K4" s="441"/>
    </row>
    <row r="5" spans="1:11" ht="18.75">
      <c r="A5" s="440">
        <v>1</v>
      </c>
      <c r="B5" s="441">
        <v>2</v>
      </c>
      <c r="C5" s="442">
        <v>3</v>
      </c>
      <c r="D5" s="442">
        <v>4</v>
      </c>
      <c r="E5" s="442">
        <v>5</v>
      </c>
      <c r="F5" s="442">
        <v>6</v>
      </c>
      <c r="G5" s="442">
        <v>7</v>
      </c>
      <c r="H5" s="442">
        <v>8</v>
      </c>
      <c r="I5" s="442">
        <v>9</v>
      </c>
      <c r="J5" s="442">
        <v>10</v>
      </c>
      <c r="K5" s="441">
        <v>11</v>
      </c>
    </row>
    <row r="6" spans="1:11" ht="18.75">
      <c r="A6" s="444" t="s">
        <v>306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</row>
    <row r="7" spans="1:11" ht="34.5">
      <c r="A7" s="445" t="s">
        <v>55</v>
      </c>
      <c r="B7" s="440">
        <v>1000</v>
      </c>
      <c r="C7" s="446">
        <v>11162.9</v>
      </c>
      <c r="D7" s="446">
        <v>11550</v>
      </c>
      <c r="E7" s="446">
        <v>10200</v>
      </c>
      <c r="F7" s="446">
        <f>G7+H7+I7+J7</f>
        <v>19636</v>
      </c>
      <c r="G7" s="446">
        <v>4789.5</v>
      </c>
      <c r="H7" s="446">
        <v>5108.3</v>
      </c>
      <c r="I7" s="446">
        <v>4693.9</v>
      </c>
      <c r="J7" s="446">
        <v>5044.3</v>
      </c>
      <c r="K7" s="447"/>
    </row>
    <row r="8" spans="1:11" ht="34.5">
      <c r="A8" s="445" t="s">
        <v>57</v>
      </c>
      <c r="B8" s="440">
        <v>1010</v>
      </c>
      <c r="C8" s="446">
        <f>SUM(C9:C16)</f>
        <v>81828.1</v>
      </c>
      <c r="D8" s="446">
        <f>D9+D10+D11+D12+D13+D14+D15+D16</f>
        <v>90349.1</v>
      </c>
      <c r="E8" s="446">
        <f>E9+E10+E11+E12+E13+E14+E15+E16</f>
        <v>90359.70000000001</v>
      </c>
      <c r="F8" s="446">
        <f>F9+F10+F11+F12+F13+F14+F15+F16</f>
        <v>102765.70000000001</v>
      </c>
      <c r="G8" s="446">
        <f>G9+G10+G11+G12+G13+G14+G15+G16</f>
        <v>31434.600000000002</v>
      </c>
      <c r="H8" s="446">
        <f>H9+H10+H11+H12+H13+H14+H15+H16</f>
        <v>24333.4</v>
      </c>
      <c r="I8" s="446">
        <f>I9+I10+I11+I12+I13+I14+I15+I16</f>
        <v>22288.899999999998</v>
      </c>
      <c r="J8" s="446">
        <f>J9+J10+J11+J12+J13+J14+J15+J16</f>
        <v>24708.800000000003</v>
      </c>
      <c r="K8" s="448"/>
    </row>
    <row r="9" spans="1:11" ht="18.75">
      <c r="A9" s="445" t="s">
        <v>307</v>
      </c>
      <c r="B9" s="441">
        <v>1011</v>
      </c>
      <c r="C9" s="446">
        <v>3360.1</v>
      </c>
      <c r="D9" s="446">
        <v>9540</v>
      </c>
      <c r="E9" s="446">
        <v>3800</v>
      </c>
      <c r="F9" s="446">
        <f aca="true" t="shared" si="0" ref="F9:F15">G9+H9+I9+J9</f>
        <v>3145.8</v>
      </c>
      <c r="G9" s="446">
        <v>936.3</v>
      </c>
      <c r="H9" s="446">
        <v>930.1</v>
      </c>
      <c r="I9" s="446">
        <v>803</v>
      </c>
      <c r="J9" s="446">
        <v>476.4</v>
      </c>
      <c r="K9" s="448"/>
    </row>
    <row r="10" spans="1:11" ht="18.75">
      <c r="A10" s="445" t="s">
        <v>308</v>
      </c>
      <c r="B10" s="441">
        <v>1012</v>
      </c>
      <c r="C10" s="446">
        <v>857.8</v>
      </c>
      <c r="D10" s="446">
        <v>1068.4</v>
      </c>
      <c r="E10" s="446">
        <v>2600</v>
      </c>
      <c r="F10" s="446">
        <f t="shared" si="0"/>
        <v>4461.1</v>
      </c>
      <c r="G10" s="446">
        <v>3838</v>
      </c>
      <c r="H10" s="446">
        <v>50</v>
      </c>
      <c r="I10" s="446">
        <v>100</v>
      </c>
      <c r="J10" s="446">
        <v>473.1</v>
      </c>
      <c r="K10" s="448"/>
    </row>
    <row r="11" spans="1:11" ht="18.75">
      <c r="A11" s="445" t="s">
        <v>309</v>
      </c>
      <c r="B11" s="441">
        <v>1013</v>
      </c>
      <c r="C11" s="446">
        <v>7721.9</v>
      </c>
      <c r="D11" s="446">
        <v>16227.1</v>
      </c>
      <c r="E11" s="446">
        <v>15091</v>
      </c>
      <c r="F11" s="446">
        <f t="shared" si="0"/>
        <v>31004.6</v>
      </c>
      <c r="G11" s="446">
        <v>9754.9</v>
      </c>
      <c r="H11" s="446">
        <v>7531.4</v>
      </c>
      <c r="I11" s="446">
        <v>5600.7</v>
      </c>
      <c r="J11" s="446">
        <v>8117.6</v>
      </c>
      <c r="K11" s="448"/>
    </row>
    <row r="12" spans="1:11" ht="18.75">
      <c r="A12" s="445" t="s">
        <v>95</v>
      </c>
      <c r="B12" s="441">
        <v>1014</v>
      </c>
      <c r="C12" s="446">
        <v>40619.8</v>
      </c>
      <c r="D12" s="446">
        <v>44979.4</v>
      </c>
      <c r="E12" s="446">
        <v>45487.6</v>
      </c>
      <c r="F12" s="446">
        <f t="shared" si="0"/>
        <v>44685.6</v>
      </c>
      <c r="G12" s="446">
        <v>11886.1</v>
      </c>
      <c r="H12" s="446">
        <v>11037.3</v>
      </c>
      <c r="I12" s="446">
        <v>10953.1</v>
      </c>
      <c r="J12" s="446">
        <v>10809.1</v>
      </c>
      <c r="K12" s="448"/>
    </row>
    <row r="13" spans="1:11" ht="18.75">
      <c r="A13" s="445" t="s">
        <v>96</v>
      </c>
      <c r="B13" s="441">
        <v>1015</v>
      </c>
      <c r="C13" s="446">
        <v>15160.4</v>
      </c>
      <c r="D13" s="446">
        <v>9895.6</v>
      </c>
      <c r="E13" s="446">
        <v>10007.3</v>
      </c>
      <c r="F13" s="446">
        <f t="shared" si="0"/>
        <v>9830.8</v>
      </c>
      <c r="G13" s="446">
        <v>2614.9</v>
      </c>
      <c r="H13" s="446">
        <v>2428.2</v>
      </c>
      <c r="I13" s="446">
        <v>2409.7</v>
      </c>
      <c r="J13" s="446">
        <v>2378</v>
      </c>
      <c r="K13" s="448"/>
    </row>
    <row r="14" spans="1:11" ht="58.5" customHeight="1">
      <c r="A14" s="445" t="s">
        <v>310</v>
      </c>
      <c r="B14" s="441">
        <v>1016</v>
      </c>
      <c r="C14" s="446">
        <v>227.7</v>
      </c>
      <c r="D14" s="446">
        <v>56.6</v>
      </c>
      <c r="E14" s="446">
        <v>140</v>
      </c>
      <c r="F14" s="446">
        <f t="shared" si="0"/>
        <v>150</v>
      </c>
      <c r="G14" s="446">
        <v>52.6</v>
      </c>
      <c r="H14" s="446">
        <v>54.4</v>
      </c>
      <c r="I14" s="446">
        <v>1.3</v>
      </c>
      <c r="J14" s="446">
        <v>41.7</v>
      </c>
      <c r="K14" s="448"/>
    </row>
    <row r="15" spans="1:11" ht="34.5">
      <c r="A15" s="445" t="s">
        <v>311</v>
      </c>
      <c r="B15" s="441">
        <v>1017</v>
      </c>
      <c r="C15" s="446">
        <v>7793.4</v>
      </c>
      <c r="D15" s="446">
        <v>7765</v>
      </c>
      <c r="E15" s="446">
        <v>7546</v>
      </c>
      <c r="F15" s="446">
        <f t="shared" si="0"/>
        <v>7680</v>
      </c>
      <c r="G15" s="446">
        <v>1920</v>
      </c>
      <c r="H15" s="446">
        <v>1920</v>
      </c>
      <c r="I15" s="446">
        <v>1920</v>
      </c>
      <c r="J15" s="446">
        <v>1920</v>
      </c>
      <c r="K15" s="448"/>
    </row>
    <row r="16" spans="1:11" ht="18.75">
      <c r="A16" s="445" t="s">
        <v>312</v>
      </c>
      <c r="B16" s="441">
        <v>1018</v>
      </c>
      <c r="C16" s="446">
        <f>C17+C18+C19+C20+C21+C22+C23+C24+C25+C26+C27+C28+C29+C30+C31+C32+C33+C34+C35+C36+C37+C38+C39</f>
        <v>6087</v>
      </c>
      <c r="D16" s="446">
        <f>D17+D18+D19+D20+D21+D22+D23+D24+D25+D26+D27+D28+D29+D30+D31+D32+D33+D34+D35+D36+D37+D38+D39</f>
        <v>817</v>
      </c>
      <c r="E16" s="446">
        <f>E17+E18+E19+E20+E21+E22+E23+E24+E25+E26+E27+E28+E29+E30+E31+E32+E33+E34+E35+E36+E37+E38+E39</f>
        <v>5687.8</v>
      </c>
      <c r="F16" s="446">
        <f>F17+F18+F19+F20+F21+F22+F23+F24+F25+F26+F27+F28+F29+F30+F31+F32+F33+F34+F35+F36+F37+F38+F39</f>
        <v>1807.8</v>
      </c>
      <c r="G16" s="446">
        <f>G17+G18+G19+G20+G21+G22+G23+G24+G25+G26+G27+G28+G29+G30+G31+G32+G33+G34+G35+G36+G37+G38+G39</f>
        <v>431.79999999999995</v>
      </c>
      <c r="H16" s="446">
        <f>H17+H18+H19+H20+H21+H22+H23+H24+H25+H26+H27+H28+H29+H30+H31+H32+H33+H34+H35+H36+H37+H38+H39</f>
        <v>382</v>
      </c>
      <c r="I16" s="446">
        <f>I17+I18+I19+I20+I21+I22+I23+I24+I25+I26+I27+I28+I29+I30+I31+I32+I33+I34+I35+I36+I37+I38+I39</f>
        <v>501.1</v>
      </c>
      <c r="J16" s="446">
        <f>J17+J18+J19+J20+J21+J22+J23+J24+J25+J26+J27+J28+J29+J30+J31+J32+J33+J34+J35+J36+J37+J38+J39</f>
        <v>492.9</v>
      </c>
      <c r="K16" s="448"/>
    </row>
    <row r="17" spans="1:11" ht="18.75">
      <c r="A17" s="445" t="s">
        <v>313</v>
      </c>
      <c r="B17" s="441"/>
      <c r="C17" s="446">
        <v>13.2</v>
      </c>
      <c r="D17" s="446">
        <v>15</v>
      </c>
      <c r="E17" s="446">
        <v>14.5</v>
      </c>
      <c r="F17" s="446">
        <f aca="true" t="shared" si="1" ref="F17:F18">G17+H17+I17+J17</f>
        <v>15</v>
      </c>
      <c r="G17" s="446">
        <v>0</v>
      </c>
      <c r="H17" s="446">
        <v>0</v>
      </c>
      <c r="I17" s="446">
        <v>7.5</v>
      </c>
      <c r="J17" s="446">
        <v>7.5</v>
      </c>
      <c r="K17" s="448"/>
    </row>
    <row r="18" spans="1:11" ht="18.75">
      <c r="A18" s="445" t="s">
        <v>314</v>
      </c>
      <c r="B18" s="441"/>
      <c r="C18" s="446">
        <v>127.5</v>
      </c>
      <c r="D18" s="446">
        <v>146.2</v>
      </c>
      <c r="E18" s="446">
        <v>145.9</v>
      </c>
      <c r="F18" s="446">
        <f t="shared" si="1"/>
        <v>177.7</v>
      </c>
      <c r="G18" s="446">
        <v>38.9</v>
      </c>
      <c r="H18" s="446">
        <v>44</v>
      </c>
      <c r="I18" s="446">
        <v>48.3</v>
      </c>
      <c r="J18" s="446">
        <v>46.5</v>
      </c>
      <c r="K18" s="448"/>
    </row>
    <row r="19" spans="1:11" ht="18.75">
      <c r="A19" s="445" t="s">
        <v>315</v>
      </c>
      <c r="B19" s="441"/>
      <c r="C19" s="446">
        <v>6.3</v>
      </c>
      <c r="D19" s="446">
        <v>0</v>
      </c>
      <c r="E19" s="446">
        <v>8</v>
      </c>
      <c r="F19" s="446">
        <v>0</v>
      </c>
      <c r="G19" s="446">
        <v>0</v>
      </c>
      <c r="H19" s="446">
        <v>0</v>
      </c>
      <c r="I19" s="446">
        <v>0</v>
      </c>
      <c r="J19" s="446">
        <v>0</v>
      </c>
      <c r="K19" s="448"/>
    </row>
    <row r="20" spans="1:11" ht="18.75">
      <c r="A20" s="445" t="s">
        <v>316</v>
      </c>
      <c r="B20" s="441"/>
      <c r="C20" s="446">
        <v>14.2</v>
      </c>
      <c r="D20" s="446">
        <v>0</v>
      </c>
      <c r="E20" s="446">
        <v>10</v>
      </c>
      <c r="F20" s="446">
        <v>0</v>
      </c>
      <c r="G20" s="446">
        <v>0</v>
      </c>
      <c r="H20" s="446">
        <v>0</v>
      </c>
      <c r="I20" s="446">
        <v>0</v>
      </c>
      <c r="J20" s="446">
        <v>0</v>
      </c>
      <c r="K20" s="448"/>
    </row>
    <row r="21" spans="1:11" ht="18.75">
      <c r="A21" s="445" t="s">
        <v>317</v>
      </c>
      <c r="B21" s="441"/>
      <c r="C21" s="446">
        <v>39.8</v>
      </c>
      <c r="D21" s="446">
        <v>0</v>
      </c>
      <c r="E21" s="446">
        <v>62.2</v>
      </c>
      <c r="F21" s="446">
        <v>0</v>
      </c>
      <c r="G21" s="446">
        <v>0</v>
      </c>
      <c r="H21" s="446">
        <v>0</v>
      </c>
      <c r="I21" s="446">
        <v>0</v>
      </c>
      <c r="J21" s="446">
        <v>0</v>
      </c>
      <c r="K21" s="448"/>
    </row>
    <row r="22" spans="1:11" ht="18.75">
      <c r="A22" s="445" t="s">
        <v>318</v>
      </c>
      <c r="B22" s="441"/>
      <c r="C22" s="446">
        <v>60.6</v>
      </c>
      <c r="D22" s="446">
        <v>0</v>
      </c>
      <c r="E22" s="446">
        <v>18.8</v>
      </c>
      <c r="F22" s="446">
        <f aca="true" t="shared" si="2" ref="F22:F26">G22+H22+I22+J22</f>
        <v>70</v>
      </c>
      <c r="G22" s="446">
        <v>0</v>
      </c>
      <c r="H22" s="446">
        <v>0</v>
      </c>
      <c r="I22" s="446">
        <v>0</v>
      </c>
      <c r="J22" s="446">
        <v>70</v>
      </c>
      <c r="K22" s="448"/>
    </row>
    <row r="23" spans="1:11" ht="18.75">
      <c r="A23" s="445" t="s">
        <v>319</v>
      </c>
      <c r="B23" s="441"/>
      <c r="C23" s="446">
        <v>13.9</v>
      </c>
      <c r="D23" s="446">
        <v>0</v>
      </c>
      <c r="E23" s="446">
        <v>39</v>
      </c>
      <c r="F23" s="446">
        <f t="shared" si="2"/>
        <v>20</v>
      </c>
      <c r="G23" s="446">
        <v>0</v>
      </c>
      <c r="H23" s="446">
        <v>0</v>
      </c>
      <c r="I23" s="446">
        <v>0</v>
      </c>
      <c r="J23" s="446">
        <v>20</v>
      </c>
      <c r="K23" s="448"/>
    </row>
    <row r="24" spans="1:11" ht="18.75">
      <c r="A24" s="445" t="s">
        <v>320</v>
      </c>
      <c r="B24" s="441"/>
      <c r="C24" s="446">
        <v>252.2</v>
      </c>
      <c r="D24" s="446">
        <v>350</v>
      </c>
      <c r="E24" s="446">
        <v>400</v>
      </c>
      <c r="F24" s="446">
        <f t="shared" si="2"/>
        <v>340</v>
      </c>
      <c r="G24" s="446">
        <v>25</v>
      </c>
      <c r="H24" s="446">
        <v>125</v>
      </c>
      <c r="I24" s="446">
        <v>145</v>
      </c>
      <c r="J24" s="446">
        <v>45</v>
      </c>
      <c r="K24" s="448"/>
    </row>
    <row r="25" spans="1:11" ht="18.75">
      <c r="A25" s="445" t="s">
        <v>321</v>
      </c>
      <c r="B25" s="441"/>
      <c r="C25" s="446">
        <v>105.3</v>
      </c>
      <c r="D25" s="446">
        <v>0</v>
      </c>
      <c r="E25" s="446">
        <v>15.2</v>
      </c>
      <c r="F25" s="446">
        <f t="shared" si="2"/>
        <v>610</v>
      </c>
      <c r="G25" s="446">
        <v>260</v>
      </c>
      <c r="H25" s="446">
        <v>0</v>
      </c>
      <c r="I25" s="446">
        <v>150</v>
      </c>
      <c r="J25" s="446">
        <v>200</v>
      </c>
      <c r="K25" s="448"/>
    </row>
    <row r="26" spans="1:11" ht="18.75">
      <c r="A26" s="445" t="s">
        <v>322</v>
      </c>
      <c r="B26" s="441"/>
      <c r="C26" s="446">
        <v>12.3</v>
      </c>
      <c r="D26" s="446">
        <v>0</v>
      </c>
      <c r="E26" s="446">
        <v>21.5</v>
      </c>
      <c r="F26" s="446">
        <f t="shared" si="2"/>
        <v>15</v>
      </c>
      <c r="G26" s="446">
        <v>0</v>
      </c>
      <c r="H26" s="446">
        <v>0</v>
      </c>
      <c r="I26" s="446">
        <v>0</v>
      </c>
      <c r="J26" s="446">
        <v>15</v>
      </c>
      <c r="K26" s="448"/>
    </row>
    <row r="27" spans="1:11" ht="18.75">
      <c r="A27" s="445" t="s">
        <v>323</v>
      </c>
      <c r="B27" s="441"/>
      <c r="C27" s="446">
        <v>18.8</v>
      </c>
      <c r="D27" s="446">
        <v>0</v>
      </c>
      <c r="E27" s="446">
        <v>32.8</v>
      </c>
      <c r="F27" s="446">
        <v>0</v>
      </c>
      <c r="G27" s="446">
        <v>0</v>
      </c>
      <c r="H27" s="446">
        <v>0</v>
      </c>
      <c r="I27" s="446">
        <v>0</v>
      </c>
      <c r="J27" s="446">
        <v>0</v>
      </c>
      <c r="K27" s="448"/>
    </row>
    <row r="28" spans="1:11" ht="34.5">
      <c r="A28" s="445" t="s">
        <v>324</v>
      </c>
      <c r="B28" s="441"/>
      <c r="C28" s="446">
        <v>30.5</v>
      </c>
      <c r="D28" s="446">
        <v>0</v>
      </c>
      <c r="E28" s="446">
        <v>4</v>
      </c>
      <c r="F28" s="446">
        <v>0</v>
      </c>
      <c r="G28" s="446">
        <v>0</v>
      </c>
      <c r="H28" s="446">
        <v>0</v>
      </c>
      <c r="I28" s="446">
        <v>0</v>
      </c>
      <c r="J28" s="446">
        <v>0</v>
      </c>
      <c r="K28" s="448"/>
    </row>
    <row r="29" spans="1:11" ht="18.75">
      <c r="A29" s="445" t="s">
        <v>325</v>
      </c>
      <c r="B29" s="441"/>
      <c r="C29" s="446">
        <v>29.6</v>
      </c>
      <c r="D29" s="446">
        <v>0</v>
      </c>
      <c r="E29" s="446">
        <v>32.6</v>
      </c>
      <c r="F29" s="446">
        <v>0</v>
      </c>
      <c r="G29" s="446">
        <v>0</v>
      </c>
      <c r="H29" s="446">
        <v>0</v>
      </c>
      <c r="I29" s="446">
        <v>0</v>
      </c>
      <c r="J29" s="446">
        <v>0</v>
      </c>
      <c r="K29" s="448"/>
    </row>
    <row r="30" spans="1:11" ht="18.75">
      <c r="A30" s="445" t="s">
        <v>326</v>
      </c>
      <c r="B30" s="441"/>
      <c r="C30" s="446">
        <v>64.1</v>
      </c>
      <c r="D30" s="446">
        <v>60.8</v>
      </c>
      <c r="E30" s="446">
        <v>40.4</v>
      </c>
      <c r="F30" s="446">
        <f aca="true" t="shared" si="3" ref="F30:F32">G30+H30+I30+J30</f>
        <v>70</v>
      </c>
      <c r="G30" s="446">
        <v>0</v>
      </c>
      <c r="H30" s="446">
        <v>70</v>
      </c>
      <c r="I30" s="446">
        <v>0</v>
      </c>
      <c r="J30" s="446">
        <v>0</v>
      </c>
      <c r="K30" s="448"/>
    </row>
    <row r="31" spans="1:11" ht="18.75">
      <c r="A31" s="445" t="s">
        <v>327</v>
      </c>
      <c r="B31" s="441"/>
      <c r="C31" s="446">
        <v>93.8</v>
      </c>
      <c r="D31" s="446">
        <v>50</v>
      </c>
      <c r="E31" s="446">
        <v>87.6</v>
      </c>
      <c r="F31" s="446">
        <f t="shared" si="3"/>
        <v>100</v>
      </c>
      <c r="G31" s="446">
        <v>25</v>
      </c>
      <c r="H31" s="446">
        <v>25</v>
      </c>
      <c r="I31" s="446">
        <v>25</v>
      </c>
      <c r="J31" s="446">
        <v>25</v>
      </c>
      <c r="K31" s="448"/>
    </row>
    <row r="32" spans="1:11" ht="18.75">
      <c r="A32" s="445" t="s">
        <v>328</v>
      </c>
      <c r="B32" s="441"/>
      <c r="C32" s="446">
        <v>33</v>
      </c>
      <c r="D32" s="446">
        <v>15</v>
      </c>
      <c r="E32" s="446">
        <v>130</v>
      </c>
      <c r="F32" s="446">
        <f t="shared" si="3"/>
        <v>15</v>
      </c>
      <c r="G32" s="446">
        <v>0</v>
      </c>
      <c r="H32" s="446">
        <v>0</v>
      </c>
      <c r="I32" s="446">
        <v>0</v>
      </c>
      <c r="J32" s="446">
        <v>15</v>
      </c>
      <c r="K32" s="448"/>
    </row>
    <row r="33" spans="1:11" ht="18.75">
      <c r="A33" s="445" t="s">
        <v>329</v>
      </c>
      <c r="B33" s="441"/>
      <c r="C33" s="446">
        <v>2.5</v>
      </c>
      <c r="D33" s="446">
        <v>0</v>
      </c>
      <c r="E33" s="446">
        <v>20.8</v>
      </c>
      <c r="F33" s="446">
        <v>0</v>
      </c>
      <c r="G33" s="446">
        <v>0</v>
      </c>
      <c r="H33" s="446">
        <v>0</v>
      </c>
      <c r="I33" s="446">
        <v>0</v>
      </c>
      <c r="J33" s="446">
        <v>0</v>
      </c>
      <c r="K33" s="448"/>
    </row>
    <row r="34" spans="1:11" ht="18.75">
      <c r="A34" s="445" t="s">
        <v>330</v>
      </c>
      <c r="B34" s="441"/>
      <c r="C34" s="446">
        <v>13.8</v>
      </c>
      <c r="D34" s="446">
        <v>15</v>
      </c>
      <c r="E34" s="446">
        <v>6.5</v>
      </c>
      <c r="F34" s="446">
        <f>G34+H34+I34+J34</f>
        <v>15</v>
      </c>
      <c r="G34" s="446">
        <v>0</v>
      </c>
      <c r="H34" s="446">
        <v>0</v>
      </c>
      <c r="I34" s="446">
        <v>7.5</v>
      </c>
      <c r="J34" s="446">
        <v>7.5</v>
      </c>
      <c r="K34" s="448"/>
    </row>
    <row r="35" spans="1:11" ht="18.75">
      <c r="A35" s="445" t="s">
        <v>331</v>
      </c>
      <c r="B35" s="441"/>
      <c r="C35" s="446">
        <v>4063.8</v>
      </c>
      <c r="D35" s="446">
        <v>0</v>
      </c>
      <c r="E35" s="446">
        <v>4000</v>
      </c>
      <c r="F35" s="446">
        <v>0</v>
      </c>
      <c r="G35" s="446">
        <v>0</v>
      </c>
      <c r="H35" s="446">
        <v>0</v>
      </c>
      <c r="I35" s="446">
        <v>0</v>
      </c>
      <c r="J35" s="446">
        <v>0</v>
      </c>
      <c r="K35" s="448"/>
    </row>
    <row r="36" spans="1:11" ht="18.75">
      <c r="A36" s="445" t="s">
        <v>332</v>
      </c>
      <c r="B36" s="441"/>
      <c r="C36" s="446">
        <v>433.1</v>
      </c>
      <c r="D36" s="446">
        <v>165</v>
      </c>
      <c r="E36" s="446">
        <v>450</v>
      </c>
      <c r="F36" s="446">
        <f aca="true" t="shared" si="4" ref="F36:F37">G36+H36+I36+J36</f>
        <v>290</v>
      </c>
      <c r="G36" s="446">
        <v>82.9</v>
      </c>
      <c r="H36" s="446">
        <v>82.9</v>
      </c>
      <c r="I36" s="446">
        <v>82.8</v>
      </c>
      <c r="J36" s="446">
        <v>41.4</v>
      </c>
      <c r="K36" s="448"/>
    </row>
    <row r="37" spans="1:11" ht="18.75">
      <c r="A37" s="445" t="s">
        <v>333</v>
      </c>
      <c r="B37" s="441"/>
      <c r="C37" s="446">
        <v>574.7</v>
      </c>
      <c r="D37" s="446">
        <v>0</v>
      </c>
      <c r="E37" s="446">
        <v>98</v>
      </c>
      <c r="F37" s="446">
        <f t="shared" si="4"/>
        <v>70.1</v>
      </c>
      <c r="G37" s="446">
        <v>0</v>
      </c>
      <c r="H37" s="446">
        <v>35.1</v>
      </c>
      <c r="I37" s="446">
        <v>35</v>
      </c>
      <c r="J37" s="446">
        <v>0</v>
      </c>
      <c r="K37" s="448"/>
    </row>
    <row r="38" spans="1:11" ht="34.5">
      <c r="A38" s="445" t="s">
        <v>334</v>
      </c>
      <c r="B38" s="441"/>
      <c r="C38" s="446">
        <v>135.7</v>
      </c>
      <c r="D38" s="446">
        <v>0</v>
      </c>
      <c r="E38" s="446">
        <v>100</v>
      </c>
      <c r="F38" s="446">
        <v>0</v>
      </c>
      <c r="G38" s="446">
        <v>0</v>
      </c>
      <c r="H38" s="446">
        <v>0</v>
      </c>
      <c r="I38" s="446">
        <v>0</v>
      </c>
      <c r="J38" s="446">
        <v>0</v>
      </c>
      <c r="K38" s="448"/>
    </row>
    <row r="39" spans="1:11" ht="18.75">
      <c r="A39" s="445" t="s">
        <v>335</v>
      </c>
      <c r="B39" s="441"/>
      <c r="C39" s="446">
        <v>-51.7</v>
      </c>
      <c r="D39" s="446">
        <v>0</v>
      </c>
      <c r="E39" s="446">
        <v>-50</v>
      </c>
      <c r="F39" s="446">
        <v>0</v>
      </c>
      <c r="G39" s="446">
        <v>0</v>
      </c>
      <c r="H39" s="446">
        <v>0</v>
      </c>
      <c r="I39" s="446">
        <v>0</v>
      </c>
      <c r="J39" s="446">
        <v>0</v>
      </c>
      <c r="K39" s="448"/>
    </row>
    <row r="40" spans="1:11" ht="34.5">
      <c r="A40" s="444" t="s">
        <v>336</v>
      </c>
      <c r="B40" s="449">
        <v>1020</v>
      </c>
      <c r="C40" s="450">
        <f>SUM(C7-C8)</f>
        <v>-70665.20000000001</v>
      </c>
      <c r="D40" s="450">
        <f>D7-D8</f>
        <v>-78799.1</v>
      </c>
      <c r="E40" s="450">
        <f>SUM(E7-E8)</f>
        <v>-80159.70000000001</v>
      </c>
      <c r="F40" s="450">
        <f>F7-F8</f>
        <v>-83129.70000000001</v>
      </c>
      <c r="G40" s="450">
        <f>G7-G8</f>
        <v>-26645.100000000002</v>
      </c>
      <c r="H40" s="450">
        <f>H7-H8</f>
        <v>-19225.100000000002</v>
      </c>
      <c r="I40" s="450">
        <f>I7-I8</f>
        <v>-17595</v>
      </c>
      <c r="J40" s="450">
        <f>J7-J8</f>
        <v>-19664.500000000004</v>
      </c>
      <c r="K40" s="447"/>
    </row>
    <row r="41" spans="1:11" ht="18.75">
      <c r="A41" s="445" t="s">
        <v>59</v>
      </c>
      <c r="B41" s="440">
        <v>1030</v>
      </c>
      <c r="C41" s="446">
        <f>SUM(C42:C61,C63)</f>
        <v>3294.2</v>
      </c>
      <c r="D41" s="446">
        <f>SUM(D42:D61,D63)</f>
        <v>3114.2</v>
      </c>
      <c r="E41" s="446">
        <f>SUM(E42:E61,E63)</f>
        <v>3140.9</v>
      </c>
      <c r="F41" s="446">
        <f>F49+F50+F51+F62+F63</f>
        <v>3094.2</v>
      </c>
      <c r="G41" s="446">
        <f>G49+G50+G51+G62+G63</f>
        <v>769.6</v>
      </c>
      <c r="H41" s="446">
        <f>H49+H50+H51+H62+H63</f>
        <v>736</v>
      </c>
      <c r="I41" s="446">
        <f>I49+I50+I51+I62+I63</f>
        <v>793.1</v>
      </c>
      <c r="J41" s="446">
        <f>J49+J50+J51+J62+J63</f>
        <v>795.5</v>
      </c>
      <c r="K41" s="448"/>
    </row>
    <row r="42" spans="1:11" ht="34.5">
      <c r="A42" s="445" t="s">
        <v>60</v>
      </c>
      <c r="B42" s="440">
        <v>1031</v>
      </c>
      <c r="C42" s="446">
        <v>0</v>
      </c>
      <c r="D42" s="446">
        <v>0</v>
      </c>
      <c r="E42" s="446">
        <v>0</v>
      </c>
      <c r="F42" s="446">
        <f aca="true" t="shared" si="5" ref="F42:F62">SUM(G42:J42)</f>
        <v>0</v>
      </c>
      <c r="G42" s="446">
        <v>0</v>
      </c>
      <c r="H42" s="446">
        <v>0</v>
      </c>
      <c r="I42" s="446">
        <v>0</v>
      </c>
      <c r="J42" s="446">
        <v>0</v>
      </c>
      <c r="K42" s="448"/>
    </row>
    <row r="43" spans="1:11" ht="18.75">
      <c r="A43" s="445" t="s">
        <v>61</v>
      </c>
      <c r="B43" s="440">
        <v>1032</v>
      </c>
      <c r="C43" s="446">
        <v>15.9</v>
      </c>
      <c r="D43" s="446">
        <v>21.6</v>
      </c>
      <c r="E43" s="446">
        <v>8.2</v>
      </c>
      <c r="F43" s="446">
        <f t="shared" si="5"/>
        <v>0</v>
      </c>
      <c r="G43" s="446">
        <v>0</v>
      </c>
      <c r="H43" s="446">
        <v>0</v>
      </c>
      <c r="I43" s="446">
        <v>0</v>
      </c>
      <c r="J43" s="446">
        <v>0</v>
      </c>
      <c r="K43" s="448"/>
    </row>
    <row r="44" spans="1:11" ht="18.75">
      <c r="A44" s="445" t="s">
        <v>62</v>
      </c>
      <c r="B44" s="440">
        <v>1033</v>
      </c>
      <c r="C44" s="446">
        <v>0</v>
      </c>
      <c r="D44" s="446">
        <v>0</v>
      </c>
      <c r="E44" s="446">
        <v>0</v>
      </c>
      <c r="F44" s="446">
        <f t="shared" si="5"/>
        <v>0</v>
      </c>
      <c r="G44" s="446">
        <v>0</v>
      </c>
      <c r="H44" s="446">
        <v>0</v>
      </c>
      <c r="I44" s="446">
        <v>0</v>
      </c>
      <c r="J44" s="446">
        <v>0</v>
      </c>
      <c r="K44" s="448"/>
    </row>
    <row r="45" spans="1:11" ht="18.75">
      <c r="A45" s="445" t="s">
        <v>63</v>
      </c>
      <c r="B45" s="440">
        <v>1034</v>
      </c>
      <c r="C45" s="446">
        <v>1.6</v>
      </c>
      <c r="D45" s="446">
        <v>3</v>
      </c>
      <c r="E45" s="446">
        <v>3</v>
      </c>
      <c r="F45" s="446">
        <f t="shared" si="5"/>
        <v>0</v>
      </c>
      <c r="G45" s="446">
        <v>0</v>
      </c>
      <c r="H45" s="446">
        <v>0</v>
      </c>
      <c r="I45" s="446">
        <v>0</v>
      </c>
      <c r="J45" s="446">
        <v>0</v>
      </c>
      <c r="K45" s="448"/>
    </row>
    <row r="46" spans="1:11" ht="18.75">
      <c r="A46" s="445" t="s">
        <v>64</v>
      </c>
      <c r="B46" s="440">
        <v>1035</v>
      </c>
      <c r="C46" s="446">
        <v>0</v>
      </c>
      <c r="D46" s="446">
        <v>0</v>
      </c>
      <c r="E46" s="446">
        <v>0</v>
      </c>
      <c r="F46" s="446">
        <f t="shared" si="5"/>
        <v>0</v>
      </c>
      <c r="G46" s="446">
        <v>0</v>
      </c>
      <c r="H46" s="446">
        <v>0</v>
      </c>
      <c r="I46" s="446">
        <v>0</v>
      </c>
      <c r="J46" s="446">
        <v>0</v>
      </c>
      <c r="K46" s="448"/>
    </row>
    <row r="47" spans="1:11" ht="18.75">
      <c r="A47" s="445" t="s">
        <v>337</v>
      </c>
      <c r="B47" s="440">
        <v>1036</v>
      </c>
      <c r="C47" s="446">
        <v>11.4</v>
      </c>
      <c r="D47" s="446">
        <v>14</v>
      </c>
      <c r="E47" s="446">
        <v>6</v>
      </c>
      <c r="F47" s="446">
        <f t="shared" si="5"/>
        <v>0</v>
      </c>
      <c r="G47" s="446">
        <v>0</v>
      </c>
      <c r="H47" s="446">
        <v>0</v>
      </c>
      <c r="I47" s="446">
        <v>0</v>
      </c>
      <c r="J47" s="446">
        <v>0</v>
      </c>
      <c r="K47" s="448"/>
    </row>
    <row r="48" spans="1:11" ht="18.75">
      <c r="A48" s="445" t="s">
        <v>338</v>
      </c>
      <c r="B48" s="440">
        <v>1037</v>
      </c>
      <c r="C48" s="446">
        <v>13.7</v>
      </c>
      <c r="D48" s="446">
        <v>14.4</v>
      </c>
      <c r="E48" s="446">
        <v>15</v>
      </c>
      <c r="F48" s="446">
        <f t="shared" si="5"/>
        <v>0</v>
      </c>
      <c r="G48" s="446">
        <v>0</v>
      </c>
      <c r="H48" s="446">
        <v>0</v>
      </c>
      <c r="I48" s="446">
        <v>0</v>
      </c>
      <c r="J48" s="446">
        <v>0</v>
      </c>
      <c r="K48" s="448"/>
    </row>
    <row r="49" spans="1:11" ht="18.75">
      <c r="A49" s="445" t="s">
        <v>339</v>
      </c>
      <c r="B49" s="440">
        <v>1038</v>
      </c>
      <c r="C49" s="446">
        <v>1864.1</v>
      </c>
      <c r="D49" s="446">
        <v>2129.6</v>
      </c>
      <c r="E49" s="446">
        <v>2129.6</v>
      </c>
      <c r="F49" s="446">
        <f t="shared" si="5"/>
        <v>2349.7999999999997</v>
      </c>
      <c r="G49" s="446">
        <v>584.5</v>
      </c>
      <c r="H49" s="446">
        <v>556.1</v>
      </c>
      <c r="I49" s="446">
        <v>604.6</v>
      </c>
      <c r="J49" s="446">
        <v>604.6</v>
      </c>
      <c r="K49" s="448"/>
    </row>
    <row r="50" spans="1:11" ht="18.75">
      <c r="A50" s="445" t="s">
        <v>340</v>
      </c>
      <c r="B50" s="440">
        <v>1039</v>
      </c>
      <c r="C50" s="446">
        <v>719.5</v>
      </c>
      <c r="D50" s="446">
        <v>468.5</v>
      </c>
      <c r="E50" s="446">
        <v>468.5</v>
      </c>
      <c r="F50" s="446">
        <f t="shared" si="5"/>
        <v>517</v>
      </c>
      <c r="G50" s="446">
        <v>128.6</v>
      </c>
      <c r="H50" s="446">
        <v>122.4</v>
      </c>
      <c r="I50" s="446">
        <v>133</v>
      </c>
      <c r="J50" s="446">
        <v>133</v>
      </c>
      <c r="K50" s="448"/>
    </row>
    <row r="51" spans="1:11" ht="34.5">
      <c r="A51" s="445" t="s">
        <v>341</v>
      </c>
      <c r="B51" s="440">
        <v>1040</v>
      </c>
      <c r="C51" s="446">
        <v>27.1</v>
      </c>
      <c r="D51" s="446">
        <v>20</v>
      </c>
      <c r="E51" s="446">
        <v>34.2</v>
      </c>
      <c r="F51" s="446">
        <f t="shared" si="5"/>
        <v>20</v>
      </c>
      <c r="G51" s="446">
        <v>5</v>
      </c>
      <c r="H51" s="446">
        <v>5</v>
      </c>
      <c r="I51" s="446">
        <v>5</v>
      </c>
      <c r="J51" s="446">
        <v>5</v>
      </c>
      <c r="K51" s="448"/>
    </row>
    <row r="52" spans="1:11" ht="51.75">
      <c r="A52" s="451" t="s">
        <v>342</v>
      </c>
      <c r="B52" s="440">
        <v>1041</v>
      </c>
      <c r="C52" s="446">
        <v>0</v>
      </c>
      <c r="D52" s="446">
        <v>0</v>
      </c>
      <c r="E52" s="446">
        <v>0</v>
      </c>
      <c r="F52" s="446">
        <f t="shared" si="5"/>
        <v>0</v>
      </c>
      <c r="G52" s="446">
        <v>0</v>
      </c>
      <c r="H52" s="446">
        <v>0</v>
      </c>
      <c r="I52" s="446">
        <v>0</v>
      </c>
      <c r="J52" s="446">
        <v>0</v>
      </c>
      <c r="K52" s="448"/>
    </row>
    <row r="53" spans="1:11" ht="34.5">
      <c r="A53" s="445" t="s">
        <v>343</v>
      </c>
      <c r="B53" s="440">
        <v>1042</v>
      </c>
      <c r="C53" s="446">
        <v>0</v>
      </c>
      <c r="D53" s="446">
        <v>0</v>
      </c>
      <c r="E53" s="446">
        <v>0</v>
      </c>
      <c r="F53" s="446">
        <f t="shared" si="5"/>
        <v>0</v>
      </c>
      <c r="G53" s="446">
        <v>0</v>
      </c>
      <c r="H53" s="446">
        <v>0</v>
      </c>
      <c r="I53" s="446">
        <v>0</v>
      </c>
      <c r="J53" s="446">
        <v>0</v>
      </c>
      <c r="K53" s="448"/>
    </row>
    <row r="54" spans="1:11" ht="34.5">
      <c r="A54" s="445" t="s">
        <v>344</v>
      </c>
      <c r="B54" s="440">
        <v>1043</v>
      </c>
      <c r="C54" s="446">
        <v>0</v>
      </c>
      <c r="D54" s="446">
        <v>0</v>
      </c>
      <c r="E54" s="446">
        <v>0</v>
      </c>
      <c r="F54" s="446">
        <f t="shared" si="5"/>
        <v>0</v>
      </c>
      <c r="G54" s="446">
        <v>0</v>
      </c>
      <c r="H54" s="446">
        <v>0</v>
      </c>
      <c r="I54" s="446">
        <v>0</v>
      </c>
      <c r="J54" s="446">
        <v>0</v>
      </c>
      <c r="K54" s="448"/>
    </row>
    <row r="55" spans="1:11" ht="18.75">
      <c r="A55" s="445" t="s">
        <v>345</v>
      </c>
      <c r="B55" s="440">
        <v>1044</v>
      </c>
      <c r="C55" s="446">
        <v>0</v>
      </c>
      <c r="D55" s="446">
        <v>0</v>
      </c>
      <c r="E55" s="446">
        <v>0</v>
      </c>
      <c r="F55" s="446">
        <f t="shared" si="5"/>
        <v>0</v>
      </c>
      <c r="G55" s="446">
        <v>0</v>
      </c>
      <c r="H55" s="446">
        <v>0</v>
      </c>
      <c r="I55" s="446">
        <v>0</v>
      </c>
      <c r="J55" s="446">
        <v>0</v>
      </c>
      <c r="K55" s="448"/>
    </row>
    <row r="56" spans="1:11" ht="18.75">
      <c r="A56" s="445" t="s">
        <v>346</v>
      </c>
      <c r="B56" s="440">
        <v>1045</v>
      </c>
      <c r="C56" s="446">
        <v>8.8</v>
      </c>
      <c r="D56" s="446">
        <v>0</v>
      </c>
      <c r="E56" s="446">
        <v>2.5</v>
      </c>
      <c r="F56" s="446">
        <f t="shared" si="5"/>
        <v>0</v>
      </c>
      <c r="G56" s="446">
        <v>0</v>
      </c>
      <c r="H56" s="446">
        <v>0</v>
      </c>
      <c r="I56" s="446">
        <v>0</v>
      </c>
      <c r="J56" s="446">
        <v>0</v>
      </c>
      <c r="K56" s="448"/>
    </row>
    <row r="57" spans="1:11" ht="18.75">
      <c r="A57" s="445" t="s">
        <v>347</v>
      </c>
      <c r="B57" s="440">
        <v>1046</v>
      </c>
      <c r="C57" s="446">
        <v>0</v>
      </c>
      <c r="D57" s="446">
        <v>0</v>
      </c>
      <c r="E57" s="446">
        <v>0</v>
      </c>
      <c r="F57" s="446">
        <f t="shared" si="5"/>
        <v>0</v>
      </c>
      <c r="G57" s="446">
        <v>0</v>
      </c>
      <c r="H57" s="446">
        <v>0</v>
      </c>
      <c r="I57" s="446">
        <v>0</v>
      </c>
      <c r="J57" s="446">
        <v>0</v>
      </c>
      <c r="K57" s="448"/>
    </row>
    <row r="58" spans="1:11" ht="18.75">
      <c r="A58" s="445" t="s">
        <v>348</v>
      </c>
      <c r="B58" s="440">
        <v>1047</v>
      </c>
      <c r="C58" s="446">
        <v>0</v>
      </c>
      <c r="D58" s="446">
        <v>0</v>
      </c>
      <c r="E58" s="446">
        <v>0</v>
      </c>
      <c r="F58" s="446">
        <f t="shared" si="5"/>
        <v>0</v>
      </c>
      <c r="G58" s="446">
        <v>0</v>
      </c>
      <c r="H58" s="446">
        <v>0</v>
      </c>
      <c r="I58" s="446">
        <v>0</v>
      </c>
      <c r="J58" s="446">
        <v>0</v>
      </c>
      <c r="K58" s="448"/>
    </row>
    <row r="59" spans="1:11" ht="34.5">
      <c r="A59" s="445" t="s">
        <v>349</v>
      </c>
      <c r="B59" s="440">
        <v>1048</v>
      </c>
      <c r="C59" s="446">
        <v>0</v>
      </c>
      <c r="D59" s="446">
        <v>0</v>
      </c>
      <c r="E59" s="446">
        <v>0</v>
      </c>
      <c r="F59" s="446">
        <f t="shared" si="5"/>
        <v>0</v>
      </c>
      <c r="G59" s="446">
        <v>0</v>
      </c>
      <c r="H59" s="446">
        <v>0</v>
      </c>
      <c r="I59" s="446">
        <v>0</v>
      </c>
      <c r="J59" s="446">
        <v>0</v>
      </c>
      <c r="K59" s="448"/>
    </row>
    <row r="60" spans="1:11" ht="34.5">
      <c r="A60" s="445" t="s">
        <v>350</v>
      </c>
      <c r="B60" s="440">
        <v>1049</v>
      </c>
      <c r="C60" s="446">
        <v>2.8</v>
      </c>
      <c r="D60" s="446">
        <v>0</v>
      </c>
      <c r="E60" s="446">
        <v>3</v>
      </c>
      <c r="F60" s="446">
        <f t="shared" si="5"/>
        <v>0</v>
      </c>
      <c r="G60" s="446">
        <v>0</v>
      </c>
      <c r="H60" s="446">
        <v>0</v>
      </c>
      <c r="I60" s="446">
        <v>0</v>
      </c>
      <c r="J60" s="446">
        <v>0</v>
      </c>
      <c r="K60" s="448"/>
    </row>
    <row r="61" spans="1:11" ht="51.75">
      <c r="A61" s="445" t="s">
        <v>351</v>
      </c>
      <c r="B61" s="440">
        <v>1050</v>
      </c>
      <c r="C61" s="446">
        <f>C62</f>
        <v>192.6</v>
      </c>
      <c r="D61" s="446">
        <v>251.5</v>
      </c>
      <c r="E61" s="446">
        <f>E62</f>
        <v>54.4</v>
      </c>
      <c r="F61" s="446">
        <f t="shared" si="5"/>
        <v>0</v>
      </c>
      <c r="G61" s="446">
        <v>0</v>
      </c>
      <c r="H61" s="446">
        <v>0</v>
      </c>
      <c r="I61" s="446">
        <v>0</v>
      </c>
      <c r="J61" s="446">
        <v>0</v>
      </c>
      <c r="K61" s="448"/>
    </row>
    <row r="62" spans="1:11" ht="18.75">
      <c r="A62" s="445" t="s">
        <v>352</v>
      </c>
      <c r="B62" s="440" t="s">
        <v>353</v>
      </c>
      <c r="C62" s="446">
        <v>192.6</v>
      </c>
      <c r="D62" s="446">
        <v>251.5</v>
      </c>
      <c r="E62" s="446">
        <v>54.4</v>
      </c>
      <c r="F62" s="446">
        <f t="shared" si="5"/>
        <v>131.5</v>
      </c>
      <c r="G62" s="446">
        <v>32</v>
      </c>
      <c r="H62" s="446">
        <v>33</v>
      </c>
      <c r="I62" s="446">
        <v>32</v>
      </c>
      <c r="J62" s="446">
        <v>34.5</v>
      </c>
      <c r="K62" s="448"/>
    </row>
    <row r="63" spans="1:11" ht="18.75">
      <c r="A63" s="452" t="s">
        <v>354</v>
      </c>
      <c r="B63" s="440">
        <v>1051</v>
      </c>
      <c r="C63" s="446">
        <f>C64+C65+C66+C67+C68+C69+C70+C71+C72+C73+C74+C75+C76+C77+C78+C79+C80+C81</f>
        <v>436.7</v>
      </c>
      <c r="D63" s="446">
        <f>D64+D65+D66+D67+D68+D74+D75+D76+D77+D78</f>
        <v>191.6</v>
      </c>
      <c r="E63" s="446">
        <f>E64+E65+E66+E67+E68+E69+E70+E71+E72+E73+E74+E75+E76+E77+E78+E79+E80+E81</f>
        <v>416.5</v>
      </c>
      <c r="F63" s="446">
        <f>F64+F65+F66+F67+F68+F69+F70+F71+F72+F73+F74+F75+F76+F77+F78+F79+F80+F81</f>
        <v>75.9</v>
      </c>
      <c r="G63" s="446">
        <f>G64+G65+G66+G67+G68+G69+G70+G71+G72+G73+G74+G75+G76+G77+G78+G79+G80+G81</f>
        <v>19.5</v>
      </c>
      <c r="H63" s="446">
        <f>H64+H65+H66+H67+H68+H69+H70+H71+H72+H73+H74+H75+H76+H77+H78+H79+H80+H81</f>
        <v>19.5</v>
      </c>
      <c r="I63" s="446">
        <f>I64+I65+I66+I67+I68+I69+I70+I71+I72+I73+I74+I75+I76+I77+I78+I79+I80+I81</f>
        <v>18.5</v>
      </c>
      <c r="J63" s="446">
        <f>J64+J65+J66+J67+J68+J69+J70+J71+J72+J73+J74+J75+J76+J77+J78+J79+J80+J81</f>
        <v>18.4</v>
      </c>
      <c r="K63" s="448"/>
    </row>
    <row r="64" spans="1:11" ht="18.75">
      <c r="A64" s="445" t="s">
        <v>355</v>
      </c>
      <c r="B64" s="440"/>
      <c r="C64" s="446">
        <v>22</v>
      </c>
      <c r="D64" s="446">
        <v>39.6</v>
      </c>
      <c r="E64" s="446">
        <v>32.8</v>
      </c>
      <c r="F64" s="446">
        <v>40</v>
      </c>
      <c r="G64" s="446">
        <v>10</v>
      </c>
      <c r="H64" s="446">
        <v>10</v>
      </c>
      <c r="I64" s="446">
        <v>10</v>
      </c>
      <c r="J64" s="446">
        <v>10</v>
      </c>
      <c r="K64" s="448"/>
    </row>
    <row r="65" spans="1:11" ht="18.75">
      <c r="A65" s="452" t="s">
        <v>356</v>
      </c>
      <c r="B65" s="453"/>
      <c r="C65" s="446">
        <v>2.1</v>
      </c>
      <c r="D65" s="446">
        <v>5</v>
      </c>
      <c r="E65" s="446">
        <v>3.6</v>
      </c>
      <c r="F65" s="446">
        <v>6</v>
      </c>
      <c r="G65" s="446">
        <v>1.5</v>
      </c>
      <c r="H65" s="446">
        <v>1.5</v>
      </c>
      <c r="I65" s="446">
        <v>1.5</v>
      </c>
      <c r="J65" s="446">
        <v>1.5</v>
      </c>
      <c r="K65" s="448"/>
    </row>
    <row r="66" spans="1:11" ht="18.75">
      <c r="A66" s="452" t="s">
        <v>357</v>
      </c>
      <c r="B66" s="453"/>
      <c r="C66" s="446">
        <v>0.7</v>
      </c>
      <c r="D66" s="446">
        <v>0</v>
      </c>
      <c r="E66" s="446">
        <v>0.7</v>
      </c>
      <c r="F66" s="446">
        <v>0</v>
      </c>
      <c r="G66" s="446">
        <v>0</v>
      </c>
      <c r="H66" s="446">
        <v>0</v>
      </c>
      <c r="I66" s="446">
        <v>0</v>
      </c>
      <c r="J66" s="446">
        <v>0</v>
      </c>
      <c r="K66" s="448"/>
    </row>
    <row r="67" spans="1:11" ht="18.75">
      <c r="A67" s="452" t="s">
        <v>358</v>
      </c>
      <c r="B67" s="453"/>
      <c r="C67" s="446">
        <v>16.7</v>
      </c>
      <c r="D67" s="446">
        <v>15.2</v>
      </c>
      <c r="E67" s="446">
        <v>24</v>
      </c>
      <c r="F67" s="446">
        <f aca="true" t="shared" si="6" ref="F67:F68">G67+H67+I67+J67</f>
        <v>4.9</v>
      </c>
      <c r="G67" s="446">
        <v>1</v>
      </c>
      <c r="H67" s="446">
        <v>1</v>
      </c>
      <c r="I67" s="446">
        <v>1</v>
      </c>
      <c r="J67" s="446">
        <v>1.9</v>
      </c>
      <c r="K67" s="448"/>
    </row>
    <row r="68" spans="1:11" ht="18.75">
      <c r="A68" s="452" t="s">
        <v>359</v>
      </c>
      <c r="B68" s="453"/>
      <c r="C68" s="446">
        <v>32.1</v>
      </c>
      <c r="D68" s="446">
        <v>5</v>
      </c>
      <c r="E68" s="446">
        <v>2</v>
      </c>
      <c r="F68" s="446">
        <f t="shared" si="6"/>
        <v>5</v>
      </c>
      <c r="G68" s="446">
        <v>1</v>
      </c>
      <c r="H68" s="446">
        <v>2</v>
      </c>
      <c r="I68" s="446">
        <v>1</v>
      </c>
      <c r="J68" s="446">
        <v>1</v>
      </c>
      <c r="K68" s="448"/>
    </row>
    <row r="69" spans="1:11" ht="18.75">
      <c r="A69" s="452" t="s">
        <v>360</v>
      </c>
      <c r="B69" s="453"/>
      <c r="C69" s="446">
        <v>1.2</v>
      </c>
      <c r="D69" s="446">
        <v>0</v>
      </c>
      <c r="E69" s="446">
        <v>10.2</v>
      </c>
      <c r="F69" s="446">
        <v>0</v>
      </c>
      <c r="G69" s="446">
        <v>0</v>
      </c>
      <c r="H69" s="446">
        <v>0</v>
      </c>
      <c r="I69" s="446">
        <v>0</v>
      </c>
      <c r="J69" s="446">
        <v>0</v>
      </c>
      <c r="K69" s="448"/>
    </row>
    <row r="70" spans="1:11" ht="18.75">
      <c r="A70" s="452" t="s">
        <v>325</v>
      </c>
      <c r="B70" s="453"/>
      <c r="C70" s="446">
        <v>0.1</v>
      </c>
      <c r="D70" s="446">
        <v>0</v>
      </c>
      <c r="E70" s="446">
        <v>0</v>
      </c>
      <c r="F70" s="446">
        <v>0</v>
      </c>
      <c r="G70" s="446">
        <v>0</v>
      </c>
      <c r="H70" s="446">
        <v>0</v>
      </c>
      <c r="I70" s="446">
        <v>0</v>
      </c>
      <c r="J70" s="446">
        <v>0</v>
      </c>
      <c r="K70" s="448"/>
    </row>
    <row r="71" spans="1:11" ht="18.75">
      <c r="A71" s="452" t="s">
        <v>361</v>
      </c>
      <c r="B71" s="453"/>
      <c r="C71" s="446">
        <v>0.1</v>
      </c>
      <c r="D71" s="446">
        <v>0</v>
      </c>
      <c r="E71" s="446">
        <v>0</v>
      </c>
      <c r="F71" s="446">
        <v>0</v>
      </c>
      <c r="G71" s="446">
        <v>0</v>
      </c>
      <c r="H71" s="446">
        <v>0</v>
      </c>
      <c r="I71" s="446">
        <v>0</v>
      </c>
      <c r="J71" s="446">
        <v>0</v>
      </c>
      <c r="K71" s="448"/>
    </row>
    <row r="72" spans="1:11" ht="18.75">
      <c r="A72" s="452" t="s">
        <v>326</v>
      </c>
      <c r="B72" s="453"/>
      <c r="C72" s="446">
        <v>0.2</v>
      </c>
      <c r="D72" s="446">
        <v>0</v>
      </c>
      <c r="E72" s="446">
        <v>0</v>
      </c>
      <c r="F72" s="446">
        <v>0</v>
      </c>
      <c r="G72" s="446">
        <v>0</v>
      </c>
      <c r="H72" s="446">
        <v>0</v>
      </c>
      <c r="I72" s="446">
        <v>0</v>
      </c>
      <c r="J72" s="446">
        <v>0</v>
      </c>
      <c r="K72" s="448"/>
    </row>
    <row r="73" spans="1:11" ht="18.75">
      <c r="A73" s="452" t="s">
        <v>362</v>
      </c>
      <c r="B73" s="453"/>
      <c r="C73" s="446">
        <v>1.3</v>
      </c>
      <c r="D73" s="446">
        <v>0</v>
      </c>
      <c r="E73" s="446">
        <v>1</v>
      </c>
      <c r="F73" s="446">
        <v>0</v>
      </c>
      <c r="G73" s="446">
        <v>0</v>
      </c>
      <c r="H73" s="446">
        <v>0</v>
      </c>
      <c r="I73" s="446">
        <v>0</v>
      </c>
      <c r="J73" s="446">
        <v>0</v>
      </c>
      <c r="K73" s="448"/>
    </row>
    <row r="74" spans="1:11" ht="18.75">
      <c r="A74" s="452" t="s">
        <v>363</v>
      </c>
      <c r="B74" s="453"/>
      <c r="C74" s="446">
        <v>32</v>
      </c>
      <c r="D74" s="446">
        <v>6.8</v>
      </c>
      <c r="E74" s="446">
        <v>26.2</v>
      </c>
      <c r="F74" s="446">
        <f aca="true" t="shared" si="7" ref="F74:F77">G74+H74+I74+J74</f>
        <v>5</v>
      </c>
      <c r="G74" s="446">
        <v>1</v>
      </c>
      <c r="H74" s="446">
        <v>1</v>
      </c>
      <c r="I74" s="446">
        <v>2</v>
      </c>
      <c r="J74" s="446">
        <v>1</v>
      </c>
      <c r="K74" s="448"/>
    </row>
    <row r="75" spans="1:11" ht="18.75">
      <c r="A75" s="452" t="s">
        <v>364</v>
      </c>
      <c r="B75" s="453"/>
      <c r="C75" s="446">
        <v>21.8</v>
      </c>
      <c r="D75" s="446">
        <v>5</v>
      </c>
      <c r="E75" s="446">
        <v>13.5</v>
      </c>
      <c r="F75" s="446">
        <f t="shared" si="7"/>
        <v>5</v>
      </c>
      <c r="G75" s="446">
        <v>2</v>
      </c>
      <c r="H75" s="446">
        <v>1</v>
      </c>
      <c r="I75" s="446">
        <v>1</v>
      </c>
      <c r="J75" s="446">
        <v>1</v>
      </c>
      <c r="K75" s="448"/>
    </row>
    <row r="76" spans="1:11" ht="18.75">
      <c r="A76" s="452" t="s">
        <v>365</v>
      </c>
      <c r="B76" s="453"/>
      <c r="C76" s="446">
        <v>7.1</v>
      </c>
      <c r="D76" s="446">
        <v>10</v>
      </c>
      <c r="E76" s="446">
        <v>5.7</v>
      </c>
      <c r="F76" s="446">
        <f t="shared" si="7"/>
        <v>5</v>
      </c>
      <c r="G76" s="446">
        <v>1</v>
      </c>
      <c r="H76" s="446">
        <v>2</v>
      </c>
      <c r="I76" s="446">
        <v>1</v>
      </c>
      <c r="J76" s="446">
        <v>1</v>
      </c>
      <c r="K76" s="448"/>
    </row>
    <row r="77" spans="1:11" ht="18.75">
      <c r="A77" s="452" t="s">
        <v>366</v>
      </c>
      <c r="B77" s="453"/>
      <c r="C77" s="446">
        <v>175.3</v>
      </c>
      <c r="D77" s="446">
        <v>100</v>
      </c>
      <c r="E77" s="446">
        <v>205.8</v>
      </c>
      <c r="F77" s="446">
        <f t="shared" si="7"/>
        <v>5</v>
      </c>
      <c r="G77" s="446">
        <v>2</v>
      </c>
      <c r="H77" s="446">
        <v>1</v>
      </c>
      <c r="I77" s="446">
        <v>1</v>
      </c>
      <c r="J77" s="446">
        <v>1</v>
      </c>
      <c r="K77" s="448"/>
    </row>
    <row r="78" spans="1:11" ht="18.75">
      <c r="A78" s="452" t="s">
        <v>367</v>
      </c>
      <c r="B78" s="453"/>
      <c r="C78" s="446">
        <v>3.2</v>
      </c>
      <c r="D78" s="446">
        <v>5</v>
      </c>
      <c r="E78" s="446">
        <v>4.5</v>
      </c>
      <c r="F78" s="446">
        <v>0</v>
      </c>
      <c r="G78" s="446">
        <v>0</v>
      </c>
      <c r="H78" s="446">
        <v>0</v>
      </c>
      <c r="I78" s="446">
        <v>0</v>
      </c>
      <c r="J78" s="446">
        <v>0</v>
      </c>
      <c r="K78" s="448"/>
    </row>
    <row r="79" spans="1:11" ht="18.75">
      <c r="A79" s="452" t="s">
        <v>368</v>
      </c>
      <c r="B79" s="453"/>
      <c r="C79" s="446">
        <v>110.4</v>
      </c>
      <c r="D79" s="446">
        <v>0</v>
      </c>
      <c r="E79" s="446">
        <v>75</v>
      </c>
      <c r="F79" s="446">
        <v>0</v>
      </c>
      <c r="G79" s="446">
        <v>0</v>
      </c>
      <c r="H79" s="446">
        <v>0</v>
      </c>
      <c r="I79" s="446">
        <v>0</v>
      </c>
      <c r="J79" s="446">
        <v>0</v>
      </c>
      <c r="K79" s="448"/>
    </row>
    <row r="80" spans="1:11" ht="18.75">
      <c r="A80" s="452" t="s">
        <v>369</v>
      </c>
      <c r="B80" s="453"/>
      <c r="C80" s="446">
        <v>0.6000000000000001</v>
      </c>
      <c r="D80" s="446">
        <v>0</v>
      </c>
      <c r="E80" s="446">
        <v>5.5</v>
      </c>
      <c r="F80" s="446">
        <v>0</v>
      </c>
      <c r="G80" s="446">
        <v>0</v>
      </c>
      <c r="H80" s="446">
        <v>0</v>
      </c>
      <c r="I80" s="446">
        <v>0</v>
      </c>
      <c r="J80" s="446">
        <v>0</v>
      </c>
      <c r="K80" s="448"/>
    </row>
    <row r="81" spans="1:11" ht="18.75">
      <c r="A81" s="452" t="s">
        <v>335</v>
      </c>
      <c r="B81" s="453"/>
      <c r="C81" s="446">
        <v>9.8</v>
      </c>
      <c r="D81" s="446">
        <v>0</v>
      </c>
      <c r="E81" s="446">
        <v>6</v>
      </c>
      <c r="F81" s="446">
        <v>0</v>
      </c>
      <c r="G81" s="446">
        <v>0</v>
      </c>
      <c r="H81" s="446">
        <v>0</v>
      </c>
      <c r="I81" s="446">
        <v>0</v>
      </c>
      <c r="J81" s="446">
        <v>0</v>
      </c>
      <c r="K81" s="448"/>
    </row>
    <row r="82" spans="1:11" ht="18.75">
      <c r="A82" s="452" t="s">
        <v>370</v>
      </c>
      <c r="B82" s="440">
        <v>1060</v>
      </c>
      <c r="C82" s="446">
        <f>SUM(C83:C89)</f>
        <v>0</v>
      </c>
      <c r="D82" s="446">
        <f>SUM(D83:D89)</f>
        <v>0</v>
      </c>
      <c r="E82" s="446">
        <f>SUM(E83:E89)</f>
        <v>0</v>
      </c>
      <c r="F82" s="446">
        <f>SUM(G82:J82)</f>
        <v>0</v>
      </c>
      <c r="G82" s="446">
        <f>SUM(G83:G89)</f>
        <v>0</v>
      </c>
      <c r="H82" s="446">
        <f>SUM(H83:H89)</f>
        <v>0</v>
      </c>
      <c r="I82" s="446">
        <f>SUM(I83:I89)</f>
        <v>0</v>
      </c>
      <c r="J82" s="446">
        <f>SUM(J83:J89)</f>
        <v>0</v>
      </c>
      <c r="K82" s="448"/>
    </row>
    <row r="83" spans="1:11" ht="18.75">
      <c r="A83" s="452" t="s">
        <v>371</v>
      </c>
      <c r="B83" s="440">
        <v>1061</v>
      </c>
      <c r="C83" s="446">
        <v>0</v>
      </c>
      <c r="D83" s="446">
        <v>0</v>
      </c>
      <c r="E83" s="446">
        <v>0</v>
      </c>
      <c r="F83" s="446">
        <v>0</v>
      </c>
      <c r="G83" s="446">
        <v>0</v>
      </c>
      <c r="H83" s="446">
        <v>0</v>
      </c>
      <c r="I83" s="446">
        <v>0</v>
      </c>
      <c r="J83" s="446">
        <v>0</v>
      </c>
      <c r="K83" s="448"/>
    </row>
    <row r="84" spans="1:11" ht="18.75">
      <c r="A84" s="452" t="s">
        <v>372</v>
      </c>
      <c r="B84" s="440">
        <v>1062</v>
      </c>
      <c r="C84" s="446">
        <v>0</v>
      </c>
      <c r="D84" s="446">
        <v>0</v>
      </c>
      <c r="E84" s="446">
        <v>0</v>
      </c>
      <c r="F84" s="446">
        <v>0</v>
      </c>
      <c r="G84" s="446">
        <v>0</v>
      </c>
      <c r="H84" s="446">
        <v>0</v>
      </c>
      <c r="I84" s="446">
        <v>0</v>
      </c>
      <c r="J84" s="446">
        <v>0</v>
      </c>
      <c r="K84" s="448"/>
    </row>
    <row r="85" spans="1:11" ht="18.75">
      <c r="A85" s="452" t="s">
        <v>339</v>
      </c>
      <c r="B85" s="440">
        <v>1063</v>
      </c>
      <c r="C85" s="446">
        <v>0</v>
      </c>
      <c r="D85" s="446">
        <v>0</v>
      </c>
      <c r="E85" s="446">
        <v>0</v>
      </c>
      <c r="F85" s="446">
        <v>0</v>
      </c>
      <c r="G85" s="446">
        <v>0</v>
      </c>
      <c r="H85" s="446">
        <v>0</v>
      </c>
      <c r="I85" s="446">
        <v>0</v>
      </c>
      <c r="J85" s="446">
        <v>0</v>
      </c>
      <c r="K85" s="448"/>
    </row>
    <row r="86" spans="1:11" ht="18.75">
      <c r="A86" s="452" t="s">
        <v>340</v>
      </c>
      <c r="B86" s="440">
        <v>1064</v>
      </c>
      <c r="C86" s="446">
        <v>0</v>
      </c>
      <c r="D86" s="446">
        <v>0</v>
      </c>
      <c r="E86" s="446">
        <v>0</v>
      </c>
      <c r="F86" s="446">
        <v>0</v>
      </c>
      <c r="G86" s="446">
        <v>0</v>
      </c>
      <c r="H86" s="446">
        <v>0</v>
      </c>
      <c r="I86" s="446">
        <v>0</v>
      </c>
      <c r="J86" s="446">
        <v>0</v>
      </c>
      <c r="K86" s="448"/>
    </row>
    <row r="87" spans="1:11" ht="34.5">
      <c r="A87" s="452" t="s">
        <v>373</v>
      </c>
      <c r="B87" s="440">
        <v>1065</v>
      </c>
      <c r="C87" s="446">
        <v>0</v>
      </c>
      <c r="D87" s="446">
        <v>0</v>
      </c>
      <c r="E87" s="446">
        <v>0</v>
      </c>
      <c r="F87" s="446">
        <v>0</v>
      </c>
      <c r="G87" s="446">
        <v>0</v>
      </c>
      <c r="H87" s="446">
        <v>0</v>
      </c>
      <c r="I87" s="446">
        <v>0</v>
      </c>
      <c r="J87" s="446">
        <v>0</v>
      </c>
      <c r="K87" s="448"/>
    </row>
    <row r="88" spans="1:11" ht="18.75">
      <c r="A88" s="452" t="s">
        <v>374</v>
      </c>
      <c r="B88" s="440">
        <v>1066</v>
      </c>
      <c r="C88" s="446">
        <v>0</v>
      </c>
      <c r="D88" s="446">
        <v>0</v>
      </c>
      <c r="E88" s="446">
        <v>0</v>
      </c>
      <c r="F88" s="446">
        <v>0</v>
      </c>
      <c r="G88" s="446">
        <v>0</v>
      </c>
      <c r="H88" s="446">
        <v>0</v>
      </c>
      <c r="I88" s="446">
        <v>0</v>
      </c>
      <c r="J88" s="446">
        <v>0</v>
      </c>
      <c r="K88" s="448"/>
    </row>
    <row r="89" spans="1:11" ht="18.75">
      <c r="A89" s="452" t="s">
        <v>375</v>
      </c>
      <c r="B89" s="440">
        <v>1067</v>
      </c>
      <c r="C89" s="446">
        <v>0</v>
      </c>
      <c r="D89" s="446">
        <v>0</v>
      </c>
      <c r="E89" s="446">
        <v>0</v>
      </c>
      <c r="F89" s="446">
        <v>0</v>
      </c>
      <c r="G89" s="446">
        <v>0</v>
      </c>
      <c r="H89" s="446">
        <v>0</v>
      </c>
      <c r="I89" s="446">
        <v>0</v>
      </c>
      <c r="J89" s="446">
        <v>0</v>
      </c>
      <c r="K89" s="448"/>
    </row>
    <row r="90" spans="1:11" ht="18.75">
      <c r="A90" s="445" t="s">
        <v>376</v>
      </c>
      <c r="B90" s="440">
        <v>1070</v>
      </c>
      <c r="C90" s="446">
        <f>SUM(C93:C95)</f>
        <v>72657.7</v>
      </c>
      <c r="D90" s="446">
        <f>SUM(D93:D95)</f>
        <v>81713.29999999999</v>
      </c>
      <c r="E90" s="446">
        <f>SUM(E93:E95)</f>
        <v>75468.5</v>
      </c>
      <c r="F90" s="446">
        <f>F93+F94+F95</f>
        <v>85023.9</v>
      </c>
      <c r="G90" s="446">
        <f>G93+G94+G95</f>
        <v>27102.699999999997</v>
      </c>
      <c r="H90" s="446">
        <f>H93+H94+H95</f>
        <v>19871.4</v>
      </c>
      <c r="I90" s="446">
        <f>I93+I94+I95</f>
        <v>18078.1</v>
      </c>
      <c r="J90" s="446">
        <f>J93+J94+J95</f>
        <v>19971.7</v>
      </c>
      <c r="K90" s="448"/>
    </row>
    <row r="91" spans="1:11" ht="18.75">
      <c r="A91" s="445" t="s">
        <v>67</v>
      </c>
      <c r="B91" s="440">
        <v>1071</v>
      </c>
      <c r="C91" s="446">
        <v>0</v>
      </c>
      <c r="D91" s="446">
        <v>0</v>
      </c>
      <c r="E91" s="446">
        <v>0</v>
      </c>
      <c r="F91" s="446">
        <v>0</v>
      </c>
      <c r="G91" s="446">
        <v>0</v>
      </c>
      <c r="H91" s="446">
        <v>0</v>
      </c>
      <c r="I91" s="446">
        <v>0</v>
      </c>
      <c r="J91" s="446">
        <v>0</v>
      </c>
      <c r="K91" s="448"/>
    </row>
    <row r="92" spans="1:11" ht="18.75">
      <c r="A92" s="445" t="s">
        <v>68</v>
      </c>
      <c r="B92" s="440">
        <v>1072</v>
      </c>
      <c r="C92" s="446">
        <v>0</v>
      </c>
      <c r="D92" s="446">
        <v>0</v>
      </c>
      <c r="E92" s="446">
        <v>0</v>
      </c>
      <c r="F92" s="446">
        <v>0</v>
      </c>
      <c r="G92" s="446">
        <v>0</v>
      </c>
      <c r="H92" s="446">
        <v>0</v>
      </c>
      <c r="I92" s="446">
        <v>0</v>
      </c>
      <c r="J92" s="446">
        <v>0</v>
      </c>
      <c r="K92" s="448"/>
    </row>
    <row r="93" spans="1:11" ht="18.75">
      <c r="A93" s="445" t="s">
        <v>377</v>
      </c>
      <c r="B93" s="440"/>
      <c r="C93" s="446">
        <v>54715.3</v>
      </c>
      <c r="D93" s="446">
        <v>80038.4</v>
      </c>
      <c r="E93" s="446">
        <v>73308.3</v>
      </c>
      <c r="F93" s="446">
        <f aca="true" t="shared" si="8" ref="F93:F94">G93+H93+I93+J93</f>
        <v>83259.7</v>
      </c>
      <c r="G93" s="446">
        <v>26660.1</v>
      </c>
      <c r="H93" s="446">
        <v>19429</v>
      </c>
      <c r="I93" s="446">
        <v>17634.3</v>
      </c>
      <c r="J93" s="446">
        <v>19536.3</v>
      </c>
      <c r="K93" s="448"/>
    </row>
    <row r="94" spans="1:11" ht="34.5">
      <c r="A94" s="445" t="s">
        <v>378</v>
      </c>
      <c r="B94" s="440"/>
      <c r="C94" s="446">
        <v>16364</v>
      </c>
      <c r="D94" s="446">
        <v>339.9</v>
      </c>
      <c r="E94" s="446">
        <v>339.9</v>
      </c>
      <c r="F94" s="446">
        <f t="shared" si="8"/>
        <v>264.20000000000005</v>
      </c>
      <c r="G94" s="446">
        <v>66.6</v>
      </c>
      <c r="H94" s="446">
        <v>66.4</v>
      </c>
      <c r="I94" s="446">
        <v>65.8</v>
      </c>
      <c r="J94" s="446">
        <v>65.4</v>
      </c>
      <c r="K94" s="448"/>
    </row>
    <row r="95" spans="1:11" ht="18.75">
      <c r="A95" s="452" t="s">
        <v>379</v>
      </c>
      <c r="B95" s="453">
        <v>1073</v>
      </c>
      <c r="C95" s="446">
        <f>C96+C97+C98+C99+C100+C101+C102+C103+C104+C105+C106+C107+C108+C109+C110+C111+C112</f>
        <v>1578.3999999999999</v>
      </c>
      <c r="D95" s="446">
        <f>D96+D97+D98+D99+D100+D101+D102+D103+D104+D105+D106+D107+D108+D109+D110+D111+D112</f>
        <v>1335</v>
      </c>
      <c r="E95" s="446">
        <f>E96+E97+E98+E99+E100+E101+E102+E103+E104+E105+E106+E107+E108+E109+E110+E111+E112</f>
        <v>1820.3000000000002</v>
      </c>
      <c r="F95" s="446">
        <f>F96+F97+F98+F99+F100+F101+F102+F103+F104+F105+F106+F107+F108+F109+F110+F111+F112</f>
        <v>1500</v>
      </c>
      <c r="G95" s="446">
        <f>G96+G97+G98+G99+G100+G101+G102+G103+G104+G105+G106+G107+G108+G109+G110+G111+G112</f>
        <v>376</v>
      </c>
      <c r="H95" s="446">
        <f>H96+H97+H98+H99+H100+H101+H102+H103+H104+H105+H106+H107+H108+H109+H110+H111+H112</f>
        <v>376</v>
      </c>
      <c r="I95" s="446">
        <f>I96+I97+I98+I99+I100+I101+I102+I103+I104+I105+I106+I107+I108+I109+I110+I111+I112</f>
        <v>378.00000000000006</v>
      </c>
      <c r="J95" s="446">
        <f>J96+J97+J98+J99+J100+J101+J102+J103+J104+J105+J106+J107+J108+J109+J110+J111+J112</f>
        <v>370.00000000000006</v>
      </c>
      <c r="K95" s="448"/>
    </row>
    <row r="96" spans="1:11" ht="34.5">
      <c r="A96" s="452" t="s">
        <v>380</v>
      </c>
      <c r="B96" s="453"/>
      <c r="C96" s="446">
        <v>79.1</v>
      </c>
      <c r="D96" s="446">
        <v>230</v>
      </c>
      <c r="E96" s="446">
        <v>813.4</v>
      </c>
      <c r="F96" s="446">
        <v>300</v>
      </c>
      <c r="G96" s="446">
        <v>75</v>
      </c>
      <c r="H96" s="446">
        <v>75</v>
      </c>
      <c r="I96" s="446">
        <v>75</v>
      </c>
      <c r="J96" s="446">
        <v>75</v>
      </c>
      <c r="K96" s="448"/>
    </row>
    <row r="97" spans="1:11" ht="18.75">
      <c r="A97" s="452" t="s">
        <v>381</v>
      </c>
      <c r="B97" s="453"/>
      <c r="C97" s="446">
        <v>496.6</v>
      </c>
      <c r="D97" s="446">
        <v>590</v>
      </c>
      <c r="E97" s="446">
        <v>540</v>
      </c>
      <c r="F97" s="446">
        <v>590</v>
      </c>
      <c r="G97" s="446">
        <v>147</v>
      </c>
      <c r="H97" s="446">
        <v>148</v>
      </c>
      <c r="I97" s="446">
        <v>148</v>
      </c>
      <c r="J97" s="446">
        <v>147</v>
      </c>
      <c r="K97" s="448"/>
    </row>
    <row r="98" spans="1:11" ht="18.75">
      <c r="A98" s="452" t="s">
        <v>382</v>
      </c>
      <c r="B98" s="453"/>
      <c r="C98" s="446">
        <v>31.6</v>
      </c>
      <c r="D98" s="446">
        <v>91</v>
      </c>
      <c r="E98" s="446">
        <v>15</v>
      </c>
      <c r="F98" s="446">
        <f aca="true" t="shared" si="9" ref="F98:F108">G98+H98+I98+J98</f>
        <v>91</v>
      </c>
      <c r="G98" s="446">
        <v>22</v>
      </c>
      <c r="H98" s="446">
        <v>23</v>
      </c>
      <c r="I98" s="446">
        <v>23</v>
      </c>
      <c r="J98" s="446">
        <v>23</v>
      </c>
      <c r="K98" s="448"/>
    </row>
    <row r="99" spans="1:11" ht="18.75">
      <c r="A99" s="452" t="s">
        <v>383</v>
      </c>
      <c r="B99" s="453"/>
      <c r="C99" s="446">
        <v>47.6</v>
      </c>
      <c r="D99" s="446">
        <v>57.2</v>
      </c>
      <c r="E99" s="446">
        <v>100.8</v>
      </c>
      <c r="F99" s="446">
        <f t="shared" si="9"/>
        <v>57.2</v>
      </c>
      <c r="G99" s="446">
        <v>14.3</v>
      </c>
      <c r="H99" s="446">
        <v>14.3</v>
      </c>
      <c r="I99" s="446">
        <v>14.3</v>
      </c>
      <c r="J99" s="446">
        <v>14.3</v>
      </c>
      <c r="K99" s="448"/>
    </row>
    <row r="100" spans="1:11" ht="18.75">
      <c r="A100" s="452" t="s">
        <v>384</v>
      </c>
      <c r="B100" s="453"/>
      <c r="C100" s="446">
        <v>204.5</v>
      </c>
      <c r="D100" s="446">
        <v>220</v>
      </c>
      <c r="E100" s="446">
        <v>250</v>
      </c>
      <c r="F100" s="446">
        <f t="shared" si="9"/>
        <v>315</v>
      </c>
      <c r="G100" s="446">
        <v>75</v>
      </c>
      <c r="H100" s="446">
        <v>80</v>
      </c>
      <c r="I100" s="446">
        <v>85</v>
      </c>
      <c r="J100" s="446">
        <v>75</v>
      </c>
      <c r="K100" s="448"/>
    </row>
    <row r="101" spans="1:11" ht="18.75">
      <c r="A101" s="452" t="s">
        <v>385</v>
      </c>
      <c r="B101" s="453"/>
      <c r="C101" s="446">
        <v>64.7</v>
      </c>
      <c r="D101" s="446">
        <v>77.6</v>
      </c>
      <c r="E101" s="446">
        <v>32</v>
      </c>
      <c r="F101" s="446">
        <f t="shared" si="9"/>
        <v>77.60000000000001</v>
      </c>
      <c r="G101" s="446">
        <v>22</v>
      </c>
      <c r="H101" s="446">
        <v>19.2</v>
      </c>
      <c r="I101" s="446">
        <v>16.6</v>
      </c>
      <c r="J101" s="446">
        <v>19.8</v>
      </c>
      <c r="K101" s="448"/>
    </row>
    <row r="102" spans="1:11" ht="18.75">
      <c r="A102" s="452" t="s">
        <v>386</v>
      </c>
      <c r="B102" s="453"/>
      <c r="C102" s="446">
        <v>8.5</v>
      </c>
      <c r="D102" s="446">
        <v>10</v>
      </c>
      <c r="E102" s="446">
        <v>8.4</v>
      </c>
      <c r="F102" s="446">
        <f t="shared" si="9"/>
        <v>10</v>
      </c>
      <c r="G102" s="446">
        <v>2.5</v>
      </c>
      <c r="H102" s="446">
        <v>2.5</v>
      </c>
      <c r="I102" s="446">
        <v>2.5</v>
      </c>
      <c r="J102" s="446">
        <v>2.5</v>
      </c>
      <c r="K102" s="448"/>
    </row>
    <row r="103" spans="1:11" ht="18.75">
      <c r="A103" s="452" t="s">
        <v>387</v>
      </c>
      <c r="B103" s="453"/>
      <c r="C103" s="446">
        <v>8.7</v>
      </c>
      <c r="D103" s="446">
        <v>10.4</v>
      </c>
      <c r="E103" s="446">
        <v>10</v>
      </c>
      <c r="F103" s="446">
        <f t="shared" si="9"/>
        <v>10.4</v>
      </c>
      <c r="G103" s="446">
        <v>2.6</v>
      </c>
      <c r="H103" s="446">
        <v>2.6</v>
      </c>
      <c r="I103" s="446">
        <v>2.6</v>
      </c>
      <c r="J103" s="446">
        <v>2.6</v>
      </c>
      <c r="K103" s="448"/>
    </row>
    <row r="104" spans="1:11" ht="18.75">
      <c r="A104" s="452" t="s">
        <v>388</v>
      </c>
      <c r="B104" s="453"/>
      <c r="C104" s="446">
        <v>2.5</v>
      </c>
      <c r="D104" s="446">
        <v>3</v>
      </c>
      <c r="E104" s="446">
        <v>7.5</v>
      </c>
      <c r="F104" s="446">
        <f t="shared" si="9"/>
        <v>0</v>
      </c>
      <c r="G104" s="446">
        <v>0</v>
      </c>
      <c r="H104" s="446">
        <v>0</v>
      </c>
      <c r="I104" s="446">
        <v>0</v>
      </c>
      <c r="J104" s="446">
        <v>0</v>
      </c>
      <c r="K104" s="448"/>
    </row>
    <row r="105" spans="1:11" ht="18.75">
      <c r="A105" s="452" t="s">
        <v>389</v>
      </c>
      <c r="B105" s="453"/>
      <c r="C105" s="446">
        <v>0.5</v>
      </c>
      <c r="D105" s="446">
        <v>0.4</v>
      </c>
      <c r="E105" s="446">
        <v>0.4</v>
      </c>
      <c r="F105" s="446">
        <f t="shared" si="9"/>
        <v>0.4</v>
      </c>
      <c r="G105" s="446">
        <v>0.1</v>
      </c>
      <c r="H105" s="446">
        <v>0.1</v>
      </c>
      <c r="I105" s="446">
        <v>0.1</v>
      </c>
      <c r="J105" s="446">
        <v>0.1</v>
      </c>
      <c r="K105" s="448"/>
    </row>
    <row r="106" spans="1:11" ht="18.75">
      <c r="A106" s="452" t="s">
        <v>390</v>
      </c>
      <c r="B106" s="453"/>
      <c r="C106" s="446">
        <v>5.5</v>
      </c>
      <c r="D106" s="446">
        <v>0</v>
      </c>
      <c r="E106" s="446">
        <v>0.6000000000000001</v>
      </c>
      <c r="F106" s="446">
        <f t="shared" si="9"/>
        <v>0</v>
      </c>
      <c r="G106" s="446">
        <v>0</v>
      </c>
      <c r="H106" s="446">
        <v>0</v>
      </c>
      <c r="I106" s="446">
        <v>0</v>
      </c>
      <c r="J106" s="446">
        <v>0</v>
      </c>
      <c r="K106" s="448"/>
    </row>
    <row r="107" spans="1:11" ht="34.5">
      <c r="A107" s="452" t="s">
        <v>391</v>
      </c>
      <c r="B107" s="453"/>
      <c r="C107" s="446">
        <v>22.4</v>
      </c>
      <c r="D107" s="446">
        <v>26.8</v>
      </c>
      <c r="E107" s="446">
        <v>27.2</v>
      </c>
      <c r="F107" s="446">
        <f t="shared" si="9"/>
        <v>26.8</v>
      </c>
      <c r="G107" s="446">
        <v>6.7</v>
      </c>
      <c r="H107" s="446">
        <v>6.7</v>
      </c>
      <c r="I107" s="446">
        <v>6.7</v>
      </c>
      <c r="J107" s="446">
        <v>6.7</v>
      </c>
      <c r="K107" s="448"/>
    </row>
    <row r="108" spans="1:11" ht="18.75">
      <c r="A108" s="452" t="s">
        <v>392</v>
      </c>
      <c r="B108" s="453"/>
      <c r="C108" s="446">
        <v>1.9</v>
      </c>
      <c r="D108" s="446">
        <v>2</v>
      </c>
      <c r="E108" s="446">
        <v>2.6</v>
      </c>
      <c r="F108" s="446">
        <f t="shared" si="9"/>
        <v>8</v>
      </c>
      <c r="G108" s="446">
        <v>5.4</v>
      </c>
      <c r="H108" s="446">
        <v>1.2</v>
      </c>
      <c r="I108" s="446">
        <v>0.8</v>
      </c>
      <c r="J108" s="446">
        <v>0.6000000000000001</v>
      </c>
      <c r="K108" s="448"/>
    </row>
    <row r="109" spans="1:11" ht="34.5">
      <c r="A109" s="452" t="s">
        <v>393</v>
      </c>
      <c r="B109" s="453"/>
      <c r="C109" s="446">
        <v>2.3</v>
      </c>
      <c r="D109" s="446">
        <v>3</v>
      </c>
      <c r="E109" s="446">
        <v>0</v>
      </c>
      <c r="F109" s="446">
        <v>0</v>
      </c>
      <c r="G109" s="446">
        <v>0</v>
      </c>
      <c r="H109" s="446">
        <v>0</v>
      </c>
      <c r="I109" s="446">
        <v>0</v>
      </c>
      <c r="J109" s="446">
        <v>0</v>
      </c>
      <c r="K109" s="448"/>
    </row>
    <row r="110" spans="1:11" ht="18.75">
      <c r="A110" s="452" t="s">
        <v>394</v>
      </c>
      <c r="B110" s="453"/>
      <c r="C110" s="446">
        <v>11.3</v>
      </c>
      <c r="D110" s="446">
        <v>13.6</v>
      </c>
      <c r="E110" s="446">
        <v>10.2</v>
      </c>
      <c r="F110" s="446">
        <f>G110+H110+I110+J110</f>
        <v>13.6</v>
      </c>
      <c r="G110" s="446">
        <v>3.4</v>
      </c>
      <c r="H110" s="446">
        <v>3.4</v>
      </c>
      <c r="I110" s="446">
        <v>3.4</v>
      </c>
      <c r="J110" s="446">
        <v>3.4</v>
      </c>
      <c r="K110" s="448"/>
    </row>
    <row r="111" spans="1:11" ht="34.5">
      <c r="A111" s="454" t="s">
        <v>395</v>
      </c>
      <c r="B111" s="453"/>
      <c r="C111" s="446">
        <v>584.4</v>
      </c>
      <c r="D111" s="446">
        <v>0</v>
      </c>
      <c r="E111" s="446">
        <v>0</v>
      </c>
      <c r="F111" s="446">
        <v>0</v>
      </c>
      <c r="G111" s="446">
        <v>0</v>
      </c>
      <c r="H111" s="446">
        <v>0</v>
      </c>
      <c r="I111" s="446">
        <v>0</v>
      </c>
      <c r="J111" s="446">
        <v>0</v>
      </c>
      <c r="K111" s="448"/>
    </row>
    <row r="112" spans="1:11" ht="18.75">
      <c r="A112" s="452" t="s">
        <v>396</v>
      </c>
      <c r="B112" s="453"/>
      <c r="C112" s="446">
        <v>6.3</v>
      </c>
      <c r="D112" s="446">
        <v>0</v>
      </c>
      <c r="E112" s="446">
        <v>2.2</v>
      </c>
      <c r="F112" s="446">
        <f>G112+H112+I112+J112</f>
        <v>0</v>
      </c>
      <c r="G112" s="446">
        <v>0</v>
      </c>
      <c r="H112" s="446">
        <v>0</v>
      </c>
      <c r="I112" s="446">
        <v>0</v>
      </c>
      <c r="J112" s="446">
        <v>0</v>
      </c>
      <c r="K112" s="448"/>
    </row>
    <row r="113" spans="1:11" ht="18.75">
      <c r="A113" s="455" t="s">
        <v>397</v>
      </c>
      <c r="B113" s="440">
        <v>1080</v>
      </c>
      <c r="C113" s="446">
        <f>SUM(C114:C119)</f>
        <v>2003.5</v>
      </c>
      <c r="D113" s="446">
        <f>D119</f>
        <v>700</v>
      </c>
      <c r="E113" s="446">
        <f>E119</f>
        <v>1381.2</v>
      </c>
      <c r="F113" s="446">
        <f>F120+F124+F125+F126+F129+F132+F134+F139</f>
        <v>800</v>
      </c>
      <c r="G113" s="446">
        <f>G120+G124+G125+G126+G129+G132+G134+G139</f>
        <v>188</v>
      </c>
      <c r="H113" s="446">
        <f>H120+H124+H125+H126+H129+H132+H134+H139</f>
        <v>410.3</v>
      </c>
      <c r="I113" s="446">
        <f>I120+I124+I125+I126+I129+I132+I134+I139</f>
        <v>190</v>
      </c>
      <c r="J113" s="446">
        <f>J120+J124+J125+J126+J129+J132+J134+J139</f>
        <v>11.7</v>
      </c>
      <c r="K113" s="448"/>
    </row>
    <row r="114" spans="1:11" ht="18.75">
      <c r="A114" s="445" t="s">
        <v>67</v>
      </c>
      <c r="B114" s="440">
        <v>1081</v>
      </c>
      <c r="C114" s="446">
        <v>0</v>
      </c>
      <c r="D114" s="446">
        <v>0</v>
      </c>
      <c r="E114" s="446">
        <v>0</v>
      </c>
      <c r="F114" s="446">
        <f aca="true" t="shared" si="10" ref="F114:F119">SUM(G114:J114)</f>
        <v>0</v>
      </c>
      <c r="G114" s="446">
        <v>0</v>
      </c>
      <c r="H114" s="446">
        <v>0</v>
      </c>
      <c r="I114" s="446">
        <v>0</v>
      </c>
      <c r="J114" s="446">
        <v>0</v>
      </c>
      <c r="K114" s="448"/>
    </row>
    <row r="115" spans="1:11" ht="18.75">
      <c r="A115" s="445" t="s">
        <v>398</v>
      </c>
      <c r="B115" s="440">
        <v>1082</v>
      </c>
      <c r="C115" s="446">
        <v>0</v>
      </c>
      <c r="D115" s="446">
        <v>0</v>
      </c>
      <c r="E115" s="446">
        <v>0</v>
      </c>
      <c r="F115" s="446">
        <f t="shared" si="10"/>
        <v>0</v>
      </c>
      <c r="G115" s="446">
        <v>0</v>
      </c>
      <c r="H115" s="446">
        <v>0</v>
      </c>
      <c r="I115" s="446">
        <v>0</v>
      </c>
      <c r="J115" s="446">
        <v>0</v>
      </c>
      <c r="K115" s="448"/>
    </row>
    <row r="116" spans="1:11" ht="18.75">
      <c r="A116" s="445" t="s">
        <v>399</v>
      </c>
      <c r="B116" s="440">
        <v>1083</v>
      </c>
      <c r="C116" s="446">
        <v>0</v>
      </c>
      <c r="D116" s="446">
        <v>0</v>
      </c>
      <c r="E116" s="446">
        <v>0</v>
      </c>
      <c r="F116" s="446">
        <f t="shared" si="10"/>
        <v>0</v>
      </c>
      <c r="G116" s="446">
        <v>0</v>
      </c>
      <c r="H116" s="446">
        <v>0</v>
      </c>
      <c r="I116" s="446">
        <v>0</v>
      </c>
      <c r="J116" s="446">
        <v>0</v>
      </c>
      <c r="K116" s="448"/>
    </row>
    <row r="117" spans="1:11" ht="18.75">
      <c r="A117" s="445" t="s">
        <v>400</v>
      </c>
      <c r="B117" s="440">
        <v>1084</v>
      </c>
      <c r="C117" s="446">
        <v>0</v>
      </c>
      <c r="D117" s="446">
        <v>0</v>
      </c>
      <c r="E117" s="446">
        <v>0</v>
      </c>
      <c r="F117" s="446">
        <f t="shared" si="10"/>
        <v>0</v>
      </c>
      <c r="G117" s="446">
        <v>0</v>
      </c>
      <c r="H117" s="446">
        <v>0</v>
      </c>
      <c r="I117" s="446">
        <v>0</v>
      </c>
      <c r="J117" s="446">
        <v>0</v>
      </c>
      <c r="K117" s="448"/>
    </row>
    <row r="118" spans="1:11" ht="18.75">
      <c r="A118" s="445" t="s">
        <v>401</v>
      </c>
      <c r="B118" s="440">
        <v>1085</v>
      </c>
      <c r="C118" s="446">
        <v>0</v>
      </c>
      <c r="D118" s="446">
        <v>0</v>
      </c>
      <c r="E118" s="446">
        <v>0</v>
      </c>
      <c r="F118" s="446">
        <f t="shared" si="10"/>
        <v>0</v>
      </c>
      <c r="G118" s="446">
        <v>0</v>
      </c>
      <c r="H118" s="446">
        <v>0</v>
      </c>
      <c r="I118" s="446">
        <v>0</v>
      </c>
      <c r="J118" s="446">
        <v>0</v>
      </c>
      <c r="K118" s="448"/>
    </row>
    <row r="119" spans="1:11" ht="18.75">
      <c r="A119" s="452" t="s">
        <v>402</v>
      </c>
      <c r="B119" s="453">
        <v>1086</v>
      </c>
      <c r="C119" s="446">
        <v>2003.5</v>
      </c>
      <c r="D119" s="446">
        <f>D120+D121+D124+D125+D126+D129+D132+D134+D139</f>
        <v>700</v>
      </c>
      <c r="E119" s="446">
        <f>E120+E121+E122+E123+E124+E125+E126+E127+E128+E129+E130+E131+E132+E133+E134+E135+E136+E137+E138+E139+E140</f>
        <v>1381.2</v>
      </c>
      <c r="F119" s="446">
        <f t="shared" si="10"/>
        <v>800</v>
      </c>
      <c r="G119" s="446">
        <f>G120+G121+G122+G123+G124+G125+G126+G127+G128+G129+G130+G131+G132+G133+G134+G135+G136+G137+G138+G139+G140</f>
        <v>188</v>
      </c>
      <c r="H119" s="446">
        <f>H120+H121+H122+H123+H124+H125+H126+H127+H128+H129+H130+H131+H132+H133+H134+H135+H136+H137+H138+H139+H140</f>
        <v>410.3</v>
      </c>
      <c r="I119" s="446">
        <f>I120+I121+I122+I123+I124+I125+I126+I127+I128+I129+I130+I131+I132+I133+I134+I135+I136+I137+I138+I139+I140</f>
        <v>190</v>
      </c>
      <c r="J119" s="446">
        <f>J120+J121+J122+J123+J124+J125+J126+J127+J128+J129+J130+J131+J132+J133+J134+J135+J136+J137+J138+J139+J140</f>
        <v>11.7</v>
      </c>
      <c r="K119" s="448"/>
    </row>
    <row r="120" spans="1:11" ht="18.75">
      <c r="A120" s="452" t="s">
        <v>403</v>
      </c>
      <c r="B120" s="453"/>
      <c r="C120" s="446">
        <v>48.7</v>
      </c>
      <c r="D120" s="446">
        <v>50</v>
      </c>
      <c r="E120" s="446">
        <v>0</v>
      </c>
      <c r="F120" s="446">
        <f>G120+H120+I120+J120</f>
        <v>0</v>
      </c>
      <c r="G120" s="446">
        <v>0</v>
      </c>
      <c r="H120" s="446">
        <v>0</v>
      </c>
      <c r="I120" s="446">
        <v>0</v>
      </c>
      <c r="J120" s="446">
        <v>0</v>
      </c>
      <c r="K120" s="448"/>
    </row>
    <row r="121" spans="1:11" ht="18.75">
      <c r="A121" s="452" t="s">
        <v>404</v>
      </c>
      <c r="B121" s="453"/>
      <c r="C121" s="446">
        <v>14.3</v>
      </c>
      <c r="D121" s="446">
        <v>15</v>
      </c>
      <c r="E121" s="446">
        <v>0</v>
      </c>
      <c r="F121" s="446">
        <v>0</v>
      </c>
      <c r="G121" s="446">
        <v>0</v>
      </c>
      <c r="H121" s="446">
        <v>0</v>
      </c>
      <c r="I121" s="446">
        <v>0</v>
      </c>
      <c r="J121" s="446">
        <v>0</v>
      </c>
      <c r="K121" s="448"/>
    </row>
    <row r="122" spans="1:11" ht="18.75">
      <c r="A122" s="452" t="s">
        <v>405</v>
      </c>
      <c r="B122" s="453"/>
      <c r="C122" s="446">
        <v>0</v>
      </c>
      <c r="D122" s="446">
        <v>0</v>
      </c>
      <c r="E122" s="446">
        <v>0</v>
      </c>
      <c r="F122" s="446">
        <v>0</v>
      </c>
      <c r="G122" s="446">
        <v>0</v>
      </c>
      <c r="H122" s="446">
        <v>0</v>
      </c>
      <c r="I122" s="446">
        <v>0</v>
      </c>
      <c r="J122" s="446">
        <v>0</v>
      </c>
      <c r="K122" s="448"/>
    </row>
    <row r="123" spans="1:11" ht="18.75">
      <c r="A123" s="445" t="s">
        <v>406</v>
      </c>
      <c r="B123" s="453"/>
      <c r="C123" s="446">
        <v>0</v>
      </c>
      <c r="D123" s="446">
        <v>0</v>
      </c>
      <c r="E123" s="446">
        <v>0</v>
      </c>
      <c r="F123" s="446">
        <v>0</v>
      </c>
      <c r="G123" s="446">
        <v>0</v>
      </c>
      <c r="H123" s="446">
        <v>0</v>
      </c>
      <c r="I123" s="446">
        <v>0</v>
      </c>
      <c r="J123" s="446">
        <v>0</v>
      </c>
      <c r="K123" s="448"/>
    </row>
    <row r="124" spans="1:11" ht="18.75">
      <c r="A124" s="452" t="s">
        <v>407</v>
      </c>
      <c r="B124" s="453"/>
      <c r="C124" s="446">
        <v>501.9</v>
      </c>
      <c r="D124" s="446">
        <v>105</v>
      </c>
      <c r="E124" s="446">
        <v>240.2</v>
      </c>
      <c r="F124" s="446">
        <f aca="true" t="shared" si="11" ref="F124:F140">G124+H124+I124+J124</f>
        <v>170</v>
      </c>
      <c r="G124" s="446">
        <v>42</v>
      </c>
      <c r="H124" s="446">
        <v>84</v>
      </c>
      <c r="I124" s="446">
        <v>44</v>
      </c>
      <c r="J124" s="446">
        <v>0</v>
      </c>
      <c r="K124" s="448"/>
    </row>
    <row r="125" spans="1:11" ht="18.75">
      <c r="A125" s="452" t="s">
        <v>408</v>
      </c>
      <c r="B125" s="453"/>
      <c r="C125" s="446">
        <v>4.8</v>
      </c>
      <c r="D125" s="446">
        <v>5</v>
      </c>
      <c r="E125" s="446">
        <v>13.6</v>
      </c>
      <c r="F125" s="446">
        <f t="shared" si="11"/>
        <v>5</v>
      </c>
      <c r="G125" s="446">
        <v>1</v>
      </c>
      <c r="H125" s="446">
        <v>0.30000000000000004</v>
      </c>
      <c r="I125" s="446">
        <v>1</v>
      </c>
      <c r="J125" s="446">
        <v>2.7</v>
      </c>
      <c r="K125" s="448"/>
    </row>
    <row r="126" spans="1:11" ht="18.75">
      <c r="A126" s="452" t="s">
        <v>328</v>
      </c>
      <c r="B126" s="453"/>
      <c r="C126" s="446">
        <v>36.6</v>
      </c>
      <c r="D126" s="446">
        <v>30</v>
      </c>
      <c r="E126" s="446">
        <v>70.2</v>
      </c>
      <c r="F126" s="446">
        <f t="shared" si="11"/>
        <v>35</v>
      </c>
      <c r="G126" s="446">
        <v>10</v>
      </c>
      <c r="H126" s="446">
        <v>10</v>
      </c>
      <c r="I126" s="446">
        <v>10</v>
      </c>
      <c r="J126" s="446">
        <v>5</v>
      </c>
      <c r="K126" s="448"/>
    </row>
    <row r="127" spans="1:11" ht="18.75">
      <c r="A127" s="452" t="s">
        <v>409</v>
      </c>
      <c r="B127" s="453"/>
      <c r="C127" s="446">
        <v>32.8</v>
      </c>
      <c r="D127" s="446">
        <v>0</v>
      </c>
      <c r="E127" s="446">
        <v>0</v>
      </c>
      <c r="F127" s="446">
        <f t="shared" si="11"/>
        <v>0</v>
      </c>
      <c r="G127" s="446">
        <v>0</v>
      </c>
      <c r="H127" s="446">
        <v>0</v>
      </c>
      <c r="I127" s="446">
        <v>0</v>
      </c>
      <c r="J127" s="446">
        <v>0</v>
      </c>
      <c r="K127" s="448"/>
    </row>
    <row r="128" spans="1:11" ht="18.75">
      <c r="A128" s="452" t="s">
        <v>330</v>
      </c>
      <c r="B128" s="453"/>
      <c r="C128" s="446">
        <v>2.3</v>
      </c>
      <c r="D128" s="446">
        <v>0</v>
      </c>
      <c r="E128" s="446">
        <v>6.2</v>
      </c>
      <c r="F128" s="446">
        <f t="shared" si="11"/>
        <v>0</v>
      </c>
      <c r="G128" s="446">
        <v>0</v>
      </c>
      <c r="H128" s="446">
        <v>0</v>
      </c>
      <c r="I128" s="446">
        <v>0</v>
      </c>
      <c r="J128" s="446">
        <v>0</v>
      </c>
      <c r="K128" s="448"/>
    </row>
    <row r="129" spans="1:11" ht="18.75">
      <c r="A129" s="452" t="s">
        <v>410</v>
      </c>
      <c r="B129" s="453"/>
      <c r="C129" s="446">
        <v>344.3</v>
      </c>
      <c r="D129" s="446">
        <v>150</v>
      </c>
      <c r="E129" s="446">
        <v>250</v>
      </c>
      <c r="F129" s="446">
        <f t="shared" si="11"/>
        <v>170</v>
      </c>
      <c r="G129" s="446">
        <v>42.5</v>
      </c>
      <c r="H129" s="446">
        <v>85</v>
      </c>
      <c r="I129" s="446">
        <v>42.5</v>
      </c>
      <c r="J129" s="446">
        <v>0</v>
      </c>
      <c r="K129" s="448"/>
    </row>
    <row r="130" spans="1:11" ht="18.75">
      <c r="A130" s="452" t="s">
        <v>331</v>
      </c>
      <c r="B130" s="453"/>
      <c r="C130" s="446">
        <v>49.7</v>
      </c>
      <c r="D130" s="446">
        <v>0</v>
      </c>
      <c r="E130" s="446">
        <v>100</v>
      </c>
      <c r="F130" s="446">
        <f t="shared" si="11"/>
        <v>0</v>
      </c>
      <c r="G130" s="446">
        <v>0</v>
      </c>
      <c r="H130" s="446">
        <v>0</v>
      </c>
      <c r="I130" s="446">
        <v>0</v>
      </c>
      <c r="J130" s="446">
        <v>0</v>
      </c>
      <c r="K130" s="448"/>
    </row>
    <row r="131" spans="1:11" ht="18.75">
      <c r="A131" s="452" t="s">
        <v>411</v>
      </c>
      <c r="B131" s="453"/>
      <c r="C131" s="446">
        <v>43</v>
      </c>
      <c r="D131" s="446">
        <v>0</v>
      </c>
      <c r="E131" s="446">
        <v>120</v>
      </c>
      <c r="F131" s="446">
        <f t="shared" si="11"/>
        <v>0</v>
      </c>
      <c r="G131" s="446">
        <v>0</v>
      </c>
      <c r="H131" s="446">
        <v>0</v>
      </c>
      <c r="I131" s="446">
        <v>0</v>
      </c>
      <c r="J131" s="446">
        <v>0</v>
      </c>
      <c r="K131" s="448"/>
    </row>
    <row r="132" spans="1:11" ht="18.75">
      <c r="A132" s="452" t="s">
        <v>412</v>
      </c>
      <c r="B132" s="453"/>
      <c r="C132" s="446">
        <v>726.3</v>
      </c>
      <c r="D132" s="446">
        <v>330</v>
      </c>
      <c r="E132" s="446">
        <v>476</v>
      </c>
      <c r="F132" s="446">
        <f t="shared" si="11"/>
        <v>404</v>
      </c>
      <c r="G132" s="446">
        <v>88.5</v>
      </c>
      <c r="H132" s="446">
        <v>227</v>
      </c>
      <c r="I132" s="446">
        <v>88.5</v>
      </c>
      <c r="J132" s="446">
        <v>0</v>
      </c>
      <c r="K132" s="448"/>
    </row>
    <row r="133" spans="1:11" ht="18.75">
      <c r="A133" s="452" t="s">
        <v>362</v>
      </c>
      <c r="B133" s="453"/>
      <c r="C133" s="446">
        <v>58.7</v>
      </c>
      <c r="D133" s="446">
        <v>0</v>
      </c>
      <c r="E133" s="446">
        <v>50</v>
      </c>
      <c r="F133" s="446">
        <f t="shared" si="11"/>
        <v>0</v>
      </c>
      <c r="G133" s="446">
        <v>0</v>
      </c>
      <c r="H133" s="446">
        <v>0</v>
      </c>
      <c r="I133" s="446">
        <v>0</v>
      </c>
      <c r="J133" s="446">
        <v>0</v>
      </c>
      <c r="K133" s="448"/>
    </row>
    <row r="134" spans="1:11" ht="18.75">
      <c r="A134" s="452" t="s">
        <v>413</v>
      </c>
      <c r="B134" s="453"/>
      <c r="C134" s="446">
        <v>15.8</v>
      </c>
      <c r="D134" s="446">
        <v>5</v>
      </c>
      <c r="E134" s="446">
        <v>0</v>
      </c>
      <c r="F134" s="446">
        <f t="shared" si="11"/>
        <v>6</v>
      </c>
      <c r="G134" s="446">
        <v>1.5</v>
      </c>
      <c r="H134" s="446">
        <v>1.5</v>
      </c>
      <c r="I134" s="446">
        <v>1.5</v>
      </c>
      <c r="J134" s="446">
        <v>1.5</v>
      </c>
      <c r="K134" s="448"/>
    </row>
    <row r="135" spans="1:11" ht="18.75">
      <c r="A135" s="452" t="s">
        <v>396</v>
      </c>
      <c r="B135" s="453"/>
      <c r="C135" s="446">
        <v>84.5</v>
      </c>
      <c r="D135" s="446">
        <v>0</v>
      </c>
      <c r="E135" s="446">
        <v>0</v>
      </c>
      <c r="F135" s="446">
        <f t="shared" si="11"/>
        <v>0</v>
      </c>
      <c r="G135" s="446">
        <v>0</v>
      </c>
      <c r="H135" s="446">
        <v>0</v>
      </c>
      <c r="I135" s="446">
        <v>0</v>
      </c>
      <c r="J135" s="446">
        <v>0</v>
      </c>
      <c r="K135" s="448"/>
    </row>
    <row r="136" spans="1:11" ht="18.75">
      <c r="A136" s="452" t="s">
        <v>327</v>
      </c>
      <c r="B136" s="453"/>
      <c r="C136" s="446">
        <v>0.2</v>
      </c>
      <c r="D136" s="446">
        <v>0</v>
      </c>
      <c r="E136" s="446">
        <v>0.2</v>
      </c>
      <c r="F136" s="446">
        <f t="shared" si="11"/>
        <v>0</v>
      </c>
      <c r="G136" s="446">
        <v>0</v>
      </c>
      <c r="H136" s="446">
        <v>0</v>
      </c>
      <c r="I136" s="446">
        <v>0</v>
      </c>
      <c r="J136" s="446">
        <v>0</v>
      </c>
      <c r="K136" s="448"/>
    </row>
    <row r="137" spans="1:11" ht="18.75">
      <c r="A137" s="452" t="s">
        <v>414</v>
      </c>
      <c r="B137" s="453"/>
      <c r="C137" s="446">
        <v>3.2</v>
      </c>
      <c r="D137" s="446">
        <v>0</v>
      </c>
      <c r="E137" s="446">
        <v>3.2</v>
      </c>
      <c r="F137" s="446">
        <f t="shared" si="11"/>
        <v>0</v>
      </c>
      <c r="G137" s="446">
        <v>0</v>
      </c>
      <c r="H137" s="446">
        <v>0</v>
      </c>
      <c r="I137" s="446">
        <v>0</v>
      </c>
      <c r="J137" s="446">
        <v>0</v>
      </c>
      <c r="K137" s="448"/>
    </row>
    <row r="138" spans="1:11" ht="18.75">
      <c r="A138" s="452" t="s">
        <v>325</v>
      </c>
      <c r="B138" s="453"/>
      <c r="C138" s="446">
        <v>1.1</v>
      </c>
      <c r="D138" s="446">
        <v>0</v>
      </c>
      <c r="E138" s="446">
        <v>40</v>
      </c>
      <c r="F138" s="446">
        <f t="shared" si="11"/>
        <v>0</v>
      </c>
      <c r="G138" s="446">
        <v>0</v>
      </c>
      <c r="H138" s="446">
        <v>0</v>
      </c>
      <c r="I138" s="446">
        <v>0</v>
      </c>
      <c r="J138" s="446">
        <v>0</v>
      </c>
      <c r="K138" s="448"/>
    </row>
    <row r="139" spans="1:11" ht="18.75">
      <c r="A139" s="452" t="s">
        <v>415</v>
      </c>
      <c r="B139" s="453"/>
      <c r="C139" s="446">
        <v>9.9</v>
      </c>
      <c r="D139" s="446">
        <v>10</v>
      </c>
      <c r="E139" s="446">
        <v>11.6</v>
      </c>
      <c r="F139" s="446">
        <f t="shared" si="11"/>
        <v>10</v>
      </c>
      <c r="G139" s="446">
        <v>2.5</v>
      </c>
      <c r="H139" s="446">
        <v>2.5</v>
      </c>
      <c r="I139" s="446">
        <v>2.5</v>
      </c>
      <c r="J139" s="446">
        <v>2.5</v>
      </c>
      <c r="K139" s="448"/>
    </row>
    <row r="140" spans="1:11" ht="18.75">
      <c r="A140" s="452" t="s">
        <v>416</v>
      </c>
      <c r="B140" s="453"/>
      <c r="C140" s="446">
        <v>25.4</v>
      </c>
      <c r="D140" s="446">
        <v>0</v>
      </c>
      <c r="E140" s="446">
        <v>0</v>
      </c>
      <c r="F140" s="446">
        <f t="shared" si="11"/>
        <v>0</v>
      </c>
      <c r="G140" s="446">
        <v>0</v>
      </c>
      <c r="H140" s="446">
        <v>0</v>
      </c>
      <c r="I140" s="446">
        <v>0</v>
      </c>
      <c r="J140" s="446">
        <v>0</v>
      </c>
      <c r="K140" s="448"/>
    </row>
    <row r="141" spans="1:11" ht="18.75">
      <c r="A141" s="444" t="s">
        <v>71</v>
      </c>
      <c r="B141" s="449">
        <v>1100</v>
      </c>
      <c r="C141" s="450">
        <f>SUM(C90+C40-C41-C82-C113)</f>
        <v>-3305.2000000000144</v>
      </c>
      <c r="D141" s="450">
        <f>SUM(D90+D40-D41-D82-D113)</f>
        <v>-900.0000000000173</v>
      </c>
      <c r="E141" s="450">
        <f>SUM(E90+E40-E41-E82-E113)</f>
        <v>-9213.300000000012</v>
      </c>
      <c r="F141" s="450">
        <f>SUM(F90+F40-F41-F82-F113)</f>
        <v>-2000.0000000000173</v>
      </c>
      <c r="G141" s="450">
        <f>SUM(G90+G40-G41-G82-G113)</f>
        <v>-500.0000000000051</v>
      </c>
      <c r="H141" s="450">
        <f>SUM(H90+H40-H41-H82-H113)</f>
        <v>-500.00000000000074</v>
      </c>
      <c r="I141" s="450">
        <f>SUM(I90+I40-I41-I82-I113)</f>
        <v>-500.0000000000015</v>
      </c>
      <c r="J141" s="450">
        <f>SUM(J90+J40-J41-J82-J113)</f>
        <v>-500.0000000000029</v>
      </c>
      <c r="K141" s="447"/>
    </row>
    <row r="142" spans="1:11" ht="18.75">
      <c r="A142" s="445" t="s">
        <v>417</v>
      </c>
      <c r="B142" s="440">
        <v>1110</v>
      </c>
      <c r="C142" s="446">
        <v>0</v>
      </c>
      <c r="D142" s="446">
        <v>0</v>
      </c>
      <c r="E142" s="446">
        <v>0</v>
      </c>
      <c r="F142" s="446">
        <f aca="true" t="shared" si="12" ref="F142:F144">SUM(G142:J142)</f>
        <v>0</v>
      </c>
      <c r="G142" s="446">
        <v>0</v>
      </c>
      <c r="H142" s="446">
        <v>0</v>
      </c>
      <c r="I142" s="446">
        <v>0</v>
      </c>
      <c r="J142" s="446">
        <v>0</v>
      </c>
      <c r="K142" s="448"/>
    </row>
    <row r="143" spans="1:11" ht="18.75">
      <c r="A143" s="445" t="s">
        <v>418</v>
      </c>
      <c r="B143" s="440">
        <v>1120</v>
      </c>
      <c r="C143" s="446">
        <v>0</v>
      </c>
      <c r="D143" s="446">
        <v>0</v>
      </c>
      <c r="E143" s="446">
        <v>0</v>
      </c>
      <c r="F143" s="446">
        <f t="shared" si="12"/>
        <v>0</v>
      </c>
      <c r="G143" s="446">
        <v>0</v>
      </c>
      <c r="H143" s="446">
        <v>0</v>
      </c>
      <c r="I143" s="446">
        <v>0</v>
      </c>
      <c r="J143" s="446">
        <v>0</v>
      </c>
      <c r="K143" s="448"/>
    </row>
    <row r="144" spans="1:11" ht="18.75">
      <c r="A144" s="445" t="s">
        <v>419</v>
      </c>
      <c r="B144" s="440">
        <v>1130</v>
      </c>
      <c r="C144" s="446">
        <v>0</v>
      </c>
      <c r="D144" s="446">
        <v>0</v>
      </c>
      <c r="E144" s="446">
        <v>0</v>
      </c>
      <c r="F144" s="446">
        <f t="shared" si="12"/>
        <v>0</v>
      </c>
      <c r="G144" s="446">
        <v>0</v>
      </c>
      <c r="H144" s="446">
        <v>0</v>
      </c>
      <c r="I144" s="446">
        <v>0</v>
      </c>
      <c r="J144" s="446">
        <v>0</v>
      </c>
      <c r="K144" s="448"/>
    </row>
    <row r="145" spans="1:11" ht="18.75">
      <c r="A145" s="445" t="s">
        <v>420</v>
      </c>
      <c r="B145" s="440">
        <v>1140</v>
      </c>
      <c r="C145" s="446">
        <v>47.7</v>
      </c>
      <c r="D145" s="446">
        <v>0</v>
      </c>
      <c r="E145" s="446">
        <v>0</v>
      </c>
      <c r="F145" s="446">
        <v>0</v>
      </c>
      <c r="G145" s="446">
        <v>0</v>
      </c>
      <c r="H145" s="446">
        <v>0</v>
      </c>
      <c r="I145" s="446">
        <v>0</v>
      </c>
      <c r="J145" s="446">
        <v>0</v>
      </c>
      <c r="K145" s="448"/>
    </row>
    <row r="146" spans="1:11" ht="18.75">
      <c r="A146" s="445" t="s">
        <v>78</v>
      </c>
      <c r="B146" s="440">
        <v>1150</v>
      </c>
      <c r="C146" s="446">
        <f>SUM(C147:C148)</f>
        <v>853.6</v>
      </c>
      <c r="D146" s="446">
        <v>900</v>
      </c>
      <c r="E146" s="446">
        <f>SUM(E147:E148)</f>
        <v>1000</v>
      </c>
      <c r="F146" s="446">
        <f>SUM(F147:F148)</f>
        <v>2000</v>
      </c>
      <c r="G146" s="446">
        <f>SUM(G147:G148)</f>
        <v>500</v>
      </c>
      <c r="H146" s="446">
        <f>SUM(H147:H148)</f>
        <v>500</v>
      </c>
      <c r="I146" s="446">
        <f>SUM(I147:I148)</f>
        <v>500</v>
      </c>
      <c r="J146" s="446">
        <f>SUM(J147:J148)</f>
        <v>500</v>
      </c>
      <c r="K146" s="448"/>
    </row>
    <row r="147" spans="1:11" ht="18.75">
      <c r="A147" s="445" t="s">
        <v>67</v>
      </c>
      <c r="B147" s="440">
        <v>1151</v>
      </c>
      <c r="C147" s="446">
        <v>0</v>
      </c>
      <c r="D147" s="446">
        <v>0</v>
      </c>
      <c r="E147" s="446">
        <v>0</v>
      </c>
      <c r="F147" s="446">
        <v>0</v>
      </c>
      <c r="G147" s="446">
        <v>0</v>
      </c>
      <c r="H147" s="446">
        <v>0</v>
      </c>
      <c r="I147" s="446">
        <v>0</v>
      </c>
      <c r="J147" s="446">
        <v>0</v>
      </c>
      <c r="K147" s="448"/>
    </row>
    <row r="148" spans="1:11" ht="34.5">
      <c r="A148" s="445" t="s">
        <v>421</v>
      </c>
      <c r="B148" s="440">
        <v>1152</v>
      </c>
      <c r="C148" s="446">
        <v>853.6</v>
      </c>
      <c r="D148" s="446">
        <v>900</v>
      </c>
      <c r="E148" s="446">
        <v>1000</v>
      </c>
      <c r="F148" s="446">
        <f>G148+H148+I148+J148</f>
        <v>2000</v>
      </c>
      <c r="G148" s="446">
        <v>500</v>
      </c>
      <c r="H148" s="446">
        <v>500</v>
      </c>
      <c r="I148" s="446">
        <v>500</v>
      </c>
      <c r="J148" s="446">
        <v>500</v>
      </c>
      <c r="K148" s="448"/>
    </row>
    <row r="149" spans="1:11" ht="18.75">
      <c r="A149" s="445" t="s">
        <v>79</v>
      </c>
      <c r="B149" s="440">
        <v>1160</v>
      </c>
      <c r="C149" s="446">
        <v>0</v>
      </c>
      <c r="D149" s="446">
        <v>0</v>
      </c>
      <c r="E149" s="446">
        <v>0</v>
      </c>
      <c r="F149" s="446">
        <v>0</v>
      </c>
      <c r="G149" s="446">
        <v>0</v>
      </c>
      <c r="H149" s="446">
        <v>0</v>
      </c>
      <c r="I149" s="446">
        <v>0</v>
      </c>
      <c r="J149" s="446">
        <v>0</v>
      </c>
      <c r="K149" s="448"/>
    </row>
    <row r="150" spans="1:11" ht="18.75">
      <c r="A150" s="445" t="s">
        <v>67</v>
      </c>
      <c r="B150" s="440">
        <v>1161</v>
      </c>
      <c r="C150" s="446">
        <v>0</v>
      </c>
      <c r="D150" s="446">
        <v>0</v>
      </c>
      <c r="E150" s="446">
        <v>0</v>
      </c>
      <c r="F150" s="446">
        <v>0</v>
      </c>
      <c r="G150" s="446">
        <v>0</v>
      </c>
      <c r="H150" s="446">
        <v>0</v>
      </c>
      <c r="I150" s="446">
        <v>0</v>
      </c>
      <c r="J150" s="446">
        <v>0</v>
      </c>
      <c r="K150" s="448"/>
    </row>
    <row r="151" spans="1:11" ht="18.75">
      <c r="A151" s="445" t="s">
        <v>422</v>
      </c>
      <c r="B151" s="440">
        <v>1162</v>
      </c>
      <c r="C151" s="446">
        <v>0</v>
      </c>
      <c r="D151" s="446">
        <v>0</v>
      </c>
      <c r="E151" s="446">
        <v>0</v>
      </c>
      <c r="F151" s="446">
        <v>0</v>
      </c>
      <c r="G151" s="446">
        <v>0</v>
      </c>
      <c r="H151" s="446">
        <v>0</v>
      </c>
      <c r="I151" s="446">
        <v>0</v>
      </c>
      <c r="J151" s="446">
        <v>0</v>
      </c>
      <c r="K151" s="448"/>
    </row>
    <row r="152" spans="1:11" ht="18.75">
      <c r="A152" s="444" t="s">
        <v>80</v>
      </c>
      <c r="B152" s="449">
        <v>1170</v>
      </c>
      <c r="C152" s="456">
        <f>C141-C145+C146</f>
        <v>-2499.3000000000143</v>
      </c>
      <c r="D152" s="456">
        <f>D141-D145+D146</f>
        <v>-1.7280399333685637E-11</v>
      </c>
      <c r="E152" s="456">
        <f>E141-E145+E146</f>
        <v>-8213.300000000012</v>
      </c>
      <c r="F152" s="456">
        <f>F141-F145+F146</f>
        <v>-1.7280399333685637E-11</v>
      </c>
      <c r="G152" s="457">
        <v>0</v>
      </c>
      <c r="H152" s="456">
        <f>H141-H145+H146</f>
        <v>0</v>
      </c>
      <c r="I152" s="456">
        <f>I141-I145+I146</f>
        <v>0</v>
      </c>
      <c r="J152" s="456">
        <f>J141-J145+J146</f>
        <v>-2.8990143619012088E-12</v>
      </c>
      <c r="K152" s="447"/>
    </row>
    <row r="153" spans="1:11" ht="18.75">
      <c r="A153" s="445" t="s">
        <v>81</v>
      </c>
      <c r="B153" s="441">
        <v>1180</v>
      </c>
      <c r="C153" s="446">
        <v>392.2</v>
      </c>
      <c r="D153" s="446">
        <v>0</v>
      </c>
      <c r="E153" s="446">
        <v>0</v>
      </c>
      <c r="F153" s="446">
        <f aca="true" t="shared" si="13" ref="F153:F156">SUM(G153:J153)</f>
        <v>0</v>
      </c>
      <c r="G153" s="446">
        <v>0</v>
      </c>
      <c r="H153" s="446">
        <v>0</v>
      </c>
      <c r="I153" s="446">
        <v>0</v>
      </c>
      <c r="J153" s="446">
        <v>0</v>
      </c>
      <c r="K153" s="447"/>
    </row>
    <row r="154" spans="1:11" ht="18.75">
      <c r="A154" s="445" t="s">
        <v>82</v>
      </c>
      <c r="B154" s="441">
        <v>1181</v>
      </c>
      <c r="C154" s="446">
        <v>0</v>
      </c>
      <c r="D154" s="446">
        <v>0</v>
      </c>
      <c r="E154" s="446">
        <v>0</v>
      </c>
      <c r="F154" s="446">
        <f t="shared" si="13"/>
        <v>0</v>
      </c>
      <c r="G154" s="446">
        <v>0</v>
      </c>
      <c r="H154" s="446">
        <v>0</v>
      </c>
      <c r="I154" s="446">
        <v>0</v>
      </c>
      <c r="J154" s="446">
        <v>0</v>
      </c>
      <c r="K154" s="447"/>
    </row>
    <row r="155" spans="1:11" ht="34.5">
      <c r="A155" s="445" t="s">
        <v>83</v>
      </c>
      <c r="B155" s="440">
        <v>1190</v>
      </c>
      <c r="C155" s="446">
        <v>0</v>
      </c>
      <c r="D155" s="446">
        <v>0</v>
      </c>
      <c r="E155" s="446">
        <v>0</v>
      </c>
      <c r="F155" s="446">
        <f t="shared" si="13"/>
        <v>0</v>
      </c>
      <c r="G155" s="446">
        <v>0</v>
      </c>
      <c r="H155" s="446">
        <v>0</v>
      </c>
      <c r="I155" s="446">
        <v>0</v>
      </c>
      <c r="J155" s="446">
        <v>0</v>
      </c>
      <c r="K155" s="448"/>
    </row>
    <row r="156" spans="1:11" ht="34.5">
      <c r="A156" s="445" t="s">
        <v>84</v>
      </c>
      <c r="B156" s="440">
        <v>1191</v>
      </c>
      <c r="C156" s="446">
        <v>0</v>
      </c>
      <c r="D156" s="446">
        <v>0</v>
      </c>
      <c r="E156" s="446">
        <v>0</v>
      </c>
      <c r="F156" s="446">
        <f t="shared" si="13"/>
        <v>0</v>
      </c>
      <c r="G156" s="446">
        <v>0</v>
      </c>
      <c r="H156" s="446">
        <v>0</v>
      </c>
      <c r="I156" s="446">
        <v>0</v>
      </c>
      <c r="J156" s="446">
        <v>0</v>
      </c>
      <c r="K156" s="448"/>
    </row>
    <row r="157" spans="1:11" ht="18.75">
      <c r="A157" s="444" t="s">
        <v>423</v>
      </c>
      <c r="B157" s="449">
        <v>1200</v>
      </c>
      <c r="C157" s="456">
        <f>C152-C153</f>
        <v>-2891.500000000014</v>
      </c>
      <c r="D157" s="456">
        <f>D152-D153</f>
        <v>-1.7280399333685637E-11</v>
      </c>
      <c r="E157" s="456">
        <f>E152-E153</f>
        <v>-8213.300000000012</v>
      </c>
      <c r="F157" s="450">
        <f>SUM(F152,F153,F154,F155,F156)</f>
        <v>-1.7280399333685637E-11</v>
      </c>
      <c r="G157" s="450">
        <f>SUM(G152,G153,G154,G155,G156)</f>
        <v>0</v>
      </c>
      <c r="H157" s="450">
        <f>SUM(H152,H153,H154,H155,H156)</f>
        <v>0</v>
      </c>
      <c r="I157" s="450">
        <f>SUM(I152,I153,I154,I155,I156)</f>
        <v>0</v>
      </c>
      <c r="J157" s="450">
        <f>SUM(J152,J153,J154,J155,J156)</f>
        <v>-2.8990143619012088E-12</v>
      </c>
      <c r="K157" s="447"/>
    </row>
    <row r="158" spans="1:11" ht="18.75">
      <c r="A158" s="445" t="s">
        <v>424</v>
      </c>
      <c r="B158" s="440">
        <v>1201</v>
      </c>
      <c r="C158" s="446">
        <v>0</v>
      </c>
      <c r="D158" s="446">
        <v>0</v>
      </c>
      <c r="E158" s="446">
        <v>0</v>
      </c>
      <c r="F158" s="446">
        <f aca="true" t="shared" si="14" ref="F158:F159">SUM(G158:J158)</f>
        <v>0</v>
      </c>
      <c r="G158" s="446">
        <v>0</v>
      </c>
      <c r="H158" s="446">
        <v>0</v>
      </c>
      <c r="I158" s="446">
        <v>0</v>
      </c>
      <c r="J158" s="446">
        <v>0</v>
      </c>
      <c r="K158" s="448"/>
    </row>
    <row r="159" spans="1:11" ht="18.75">
      <c r="A159" s="445" t="s">
        <v>425</v>
      </c>
      <c r="B159" s="440">
        <v>1202</v>
      </c>
      <c r="C159" s="446">
        <v>-2891.5</v>
      </c>
      <c r="D159" s="446">
        <v>0</v>
      </c>
      <c r="E159" s="446">
        <v>-8213.3</v>
      </c>
      <c r="F159" s="446">
        <f t="shared" si="14"/>
        <v>0</v>
      </c>
      <c r="G159" s="446">
        <v>0</v>
      </c>
      <c r="H159" s="446">
        <v>0</v>
      </c>
      <c r="I159" s="446">
        <v>0</v>
      </c>
      <c r="J159" s="446">
        <v>0</v>
      </c>
      <c r="K159" s="448"/>
    </row>
    <row r="160" spans="1:11" ht="34.5">
      <c r="A160" s="444" t="s">
        <v>88</v>
      </c>
      <c r="B160" s="440">
        <v>1210</v>
      </c>
      <c r="C160" s="450">
        <f>SUM(C7,C90,C142,C144,C146,C154,C155)</f>
        <v>84674.2</v>
      </c>
      <c r="D160" s="450">
        <f>SUM(D7,D90,D142,D144,D146,D154,D155)</f>
        <v>94163.29999999999</v>
      </c>
      <c r="E160" s="450">
        <f>SUM(E7,E90,E142,E144,E146,E154,E155)</f>
        <v>86668.5</v>
      </c>
      <c r="F160" s="450">
        <f>SUM(F7,F90,F142,F144,F146,F154,F155)</f>
        <v>106659.9</v>
      </c>
      <c r="G160" s="450">
        <f>G7+G90+G146</f>
        <v>32392.199999999997</v>
      </c>
      <c r="H160" s="450">
        <f>H7+H90+H146</f>
        <v>25479.7</v>
      </c>
      <c r="I160" s="450">
        <f>I7+I90+I146</f>
        <v>23272</v>
      </c>
      <c r="J160" s="450">
        <f>J7+J90+J146</f>
        <v>25516</v>
      </c>
      <c r="K160" s="448"/>
    </row>
    <row r="161" spans="1:11" ht="34.5">
      <c r="A161" s="444" t="s">
        <v>89</v>
      </c>
      <c r="B161" s="440">
        <v>1220</v>
      </c>
      <c r="C161" s="450">
        <f>SUM(C8,C41,C82,C113,C143,C145,C149,C153,C156)</f>
        <v>87565.70000000001</v>
      </c>
      <c r="D161" s="450">
        <f>SUM(D8,D41,D82,D113,D143,D145,D149,D153,D156)</f>
        <v>94163.3</v>
      </c>
      <c r="E161" s="450">
        <f>E8+E41+E113</f>
        <v>94881.8</v>
      </c>
      <c r="F161" s="450">
        <f>SUM(F8,F41,F82,F113,F143,F145,F149,F153,F156)</f>
        <v>106659.90000000001</v>
      </c>
      <c r="G161" s="450">
        <f>G8+G41+G113</f>
        <v>32392.2</v>
      </c>
      <c r="H161" s="450">
        <f>H8+H41+H113</f>
        <v>25479.7</v>
      </c>
      <c r="I161" s="450">
        <f>I8+I41+I113</f>
        <v>23271.999999999996</v>
      </c>
      <c r="J161" s="450">
        <f>J8+J41+J113</f>
        <v>25516.000000000004</v>
      </c>
      <c r="K161" s="448"/>
    </row>
    <row r="162" spans="1:11" ht="18.75">
      <c r="A162" s="445" t="s">
        <v>90</v>
      </c>
      <c r="B162" s="440">
        <v>1230</v>
      </c>
      <c r="C162" s="446">
        <v>0</v>
      </c>
      <c r="D162" s="446">
        <v>0</v>
      </c>
      <c r="E162" s="446">
        <v>0</v>
      </c>
      <c r="F162" s="446">
        <f>SUM(G162:J162)</f>
        <v>0</v>
      </c>
      <c r="G162" s="446">
        <v>0</v>
      </c>
      <c r="H162" s="446">
        <v>0</v>
      </c>
      <c r="I162" s="446">
        <v>0</v>
      </c>
      <c r="J162" s="446">
        <v>0</v>
      </c>
      <c r="K162" s="448"/>
    </row>
    <row r="163" spans="1:11" ht="18.75" customHeight="1">
      <c r="A163" s="444" t="s">
        <v>91</v>
      </c>
      <c r="B163" s="444"/>
      <c r="C163" s="444"/>
      <c r="D163" s="444"/>
      <c r="E163" s="444"/>
      <c r="F163" s="444"/>
      <c r="G163" s="444"/>
      <c r="H163" s="444"/>
      <c r="I163" s="444"/>
      <c r="J163" s="444"/>
      <c r="K163" s="444"/>
    </row>
    <row r="164" spans="1:11" ht="18.75">
      <c r="A164" s="445" t="s">
        <v>92</v>
      </c>
      <c r="B164" s="440">
        <v>1400</v>
      </c>
      <c r="C164" s="446">
        <v>12561.1</v>
      </c>
      <c r="D164" s="446">
        <v>27384.4</v>
      </c>
      <c r="E164" s="446">
        <v>21876.7</v>
      </c>
      <c r="F164" s="446">
        <f>F165+F166</f>
        <v>39116.7</v>
      </c>
      <c r="G164" s="446">
        <f>G165+G166</f>
        <v>14664.199999999999</v>
      </c>
      <c r="H164" s="446">
        <f>H165+H166</f>
        <v>8654.4</v>
      </c>
      <c r="I164" s="446">
        <f>I165+I166</f>
        <v>6596.8</v>
      </c>
      <c r="J164" s="446">
        <f>J165+J166</f>
        <v>9201.300000000001</v>
      </c>
      <c r="K164" s="448"/>
    </row>
    <row r="165" spans="1:11" ht="18.75">
      <c r="A165" s="445" t="s">
        <v>93</v>
      </c>
      <c r="B165" s="458">
        <v>1401</v>
      </c>
      <c r="C165" s="446">
        <v>3490</v>
      </c>
      <c r="D165" s="446">
        <v>9540</v>
      </c>
      <c r="E165" s="446">
        <v>3800</v>
      </c>
      <c r="F165" s="446">
        <f>F9+F14</f>
        <v>3295.8</v>
      </c>
      <c r="G165" s="446">
        <f>G9+G14</f>
        <v>988.9</v>
      </c>
      <c r="H165" s="446">
        <f>H9+H14</f>
        <v>984.5</v>
      </c>
      <c r="I165" s="446">
        <f>I9+I14</f>
        <v>804.3</v>
      </c>
      <c r="J165" s="446">
        <f>J9+J14</f>
        <v>518.1</v>
      </c>
      <c r="K165" s="448"/>
    </row>
    <row r="166" spans="1:11" ht="18.75">
      <c r="A166" s="445" t="s">
        <v>94</v>
      </c>
      <c r="B166" s="458">
        <v>1402</v>
      </c>
      <c r="C166" s="446">
        <v>8722.7</v>
      </c>
      <c r="D166" s="446">
        <v>17517.2</v>
      </c>
      <c r="E166" s="446">
        <f>E10+E11+E61+E64</f>
        <v>17778.2</v>
      </c>
      <c r="F166" s="446">
        <f>F11+F10+F18+F62+F64+F65</f>
        <v>35820.899999999994</v>
      </c>
      <c r="G166" s="446">
        <f>G11+G10+G18+G62+G64+G65</f>
        <v>13675.3</v>
      </c>
      <c r="H166" s="446">
        <f>H11+H10+H18+H62+H64+H65</f>
        <v>7669.9</v>
      </c>
      <c r="I166" s="446">
        <f>I11+I10+I18+I62+I64+I65</f>
        <v>5792.5</v>
      </c>
      <c r="J166" s="446">
        <f>J11+J10+J18+J62+J64+J65</f>
        <v>8683.2</v>
      </c>
      <c r="K166" s="448"/>
    </row>
    <row r="167" spans="1:11" ht="18.75">
      <c r="A167" s="445" t="s">
        <v>95</v>
      </c>
      <c r="B167" s="458">
        <v>1410</v>
      </c>
      <c r="C167" s="446">
        <v>42483.9</v>
      </c>
      <c r="D167" s="446">
        <f aca="true" t="shared" si="15" ref="D167:D168">D12+D49</f>
        <v>47109</v>
      </c>
      <c r="E167" s="446">
        <f aca="true" t="shared" si="16" ref="E167:E168">E12+E49</f>
        <v>47617.2</v>
      </c>
      <c r="F167" s="446">
        <f aca="true" t="shared" si="17" ref="F167:F168">F12+F49</f>
        <v>47035.4</v>
      </c>
      <c r="G167" s="446">
        <f aca="true" t="shared" si="18" ref="G167:G168">G12+G49</f>
        <v>12470.6</v>
      </c>
      <c r="H167" s="446">
        <f aca="true" t="shared" si="19" ref="H167:H168">H12+H49</f>
        <v>11593.4</v>
      </c>
      <c r="I167" s="446">
        <f aca="true" t="shared" si="20" ref="I167:I168">I12+I49</f>
        <v>11557.7</v>
      </c>
      <c r="J167" s="446">
        <f aca="true" t="shared" si="21" ref="J167:J168">J12+J49</f>
        <v>11413.7</v>
      </c>
      <c r="K167" s="448"/>
    </row>
    <row r="168" spans="1:11" ht="18.75">
      <c r="A168" s="445" t="s">
        <v>96</v>
      </c>
      <c r="B168" s="458">
        <v>1420</v>
      </c>
      <c r="C168" s="446">
        <v>15879.9</v>
      </c>
      <c r="D168" s="446">
        <f t="shared" si="15"/>
        <v>10364.1</v>
      </c>
      <c r="E168" s="446">
        <f t="shared" si="16"/>
        <v>10475.8</v>
      </c>
      <c r="F168" s="446">
        <f t="shared" si="17"/>
        <v>10347.8</v>
      </c>
      <c r="G168" s="446">
        <f t="shared" si="18"/>
        <v>2743.5</v>
      </c>
      <c r="H168" s="446">
        <f t="shared" si="19"/>
        <v>2550.6</v>
      </c>
      <c r="I168" s="446">
        <f t="shared" si="20"/>
        <v>2542.7</v>
      </c>
      <c r="J168" s="446">
        <f t="shared" si="21"/>
        <v>2511</v>
      </c>
      <c r="K168" s="448"/>
    </row>
    <row r="169" spans="1:11" ht="18.75">
      <c r="A169" s="445" t="s">
        <v>97</v>
      </c>
      <c r="B169" s="458">
        <v>1430</v>
      </c>
      <c r="C169" s="446">
        <v>7834.8</v>
      </c>
      <c r="D169" s="446">
        <f>D15+D51+D121</f>
        <v>7800</v>
      </c>
      <c r="E169" s="446">
        <f>E15+E51</f>
        <v>7580.2</v>
      </c>
      <c r="F169" s="446">
        <f>G169+H169+I169+J169</f>
        <v>7700</v>
      </c>
      <c r="G169" s="446">
        <v>1925</v>
      </c>
      <c r="H169" s="446">
        <v>1925</v>
      </c>
      <c r="I169" s="446">
        <v>1925</v>
      </c>
      <c r="J169" s="446">
        <v>1925</v>
      </c>
      <c r="K169" s="448"/>
    </row>
    <row r="170" spans="1:11" ht="18.75">
      <c r="A170" s="445" t="s">
        <v>98</v>
      </c>
      <c r="B170" s="458">
        <v>1440</v>
      </c>
      <c r="C170" s="446">
        <v>8366.1</v>
      </c>
      <c r="D170" s="446">
        <f>D119-D120+D63-D64-D65+D43+D45+D47+D48+D16-D17-D18</f>
        <v>1505.8</v>
      </c>
      <c r="E170" s="446">
        <f>E16-E18+E43+E45+E48+E56+E63-E64-E65+E113</f>
        <v>7331.9</v>
      </c>
      <c r="F170" s="446">
        <f>F16-F18+F63-F64-F65+F113</f>
        <v>2460</v>
      </c>
      <c r="G170" s="446">
        <f>G16-G18+G63-G64-G65+G113</f>
        <v>588.9</v>
      </c>
      <c r="H170" s="446">
        <f>H16-H18+H63-H64-H65+H113</f>
        <v>756.3</v>
      </c>
      <c r="I170" s="446">
        <f>I16-I18+I63-I64-I65+I113</f>
        <v>649.8</v>
      </c>
      <c r="J170" s="446">
        <f>J16-J18+J63-J64-J65+J113</f>
        <v>464.99999999999994</v>
      </c>
      <c r="K170" s="448"/>
    </row>
    <row r="171" spans="1:11" ht="20.25">
      <c r="A171" s="444" t="s">
        <v>99</v>
      </c>
      <c r="B171" s="459">
        <v>1450</v>
      </c>
      <c r="C171" s="450">
        <f>SUM(C164,C167:C170)</f>
        <v>87125.8</v>
      </c>
      <c r="D171" s="450">
        <f>SUM(D164,D167:D170)</f>
        <v>94163.29999999999</v>
      </c>
      <c r="E171" s="450">
        <f>E164+E167+E168+E169+E170</f>
        <v>94881.79999999999</v>
      </c>
      <c r="F171" s="450">
        <f>SUM(F164,F167:F170)</f>
        <v>106659.9</v>
      </c>
      <c r="G171" s="450">
        <f>SUM(G164,G167:G170)</f>
        <v>32392.199999999997</v>
      </c>
      <c r="H171" s="450">
        <f>SUM(H164,H167:H170)</f>
        <v>25479.699999999997</v>
      </c>
      <c r="I171" s="450">
        <f>SUM(I164,I167:I170)</f>
        <v>23272</v>
      </c>
      <c r="J171" s="450">
        <f>SUM(J164,J167:J170)</f>
        <v>25516</v>
      </c>
      <c r="K171" s="447"/>
    </row>
    <row r="172" spans="1:11" ht="18.75">
      <c r="A172" s="460"/>
      <c r="B172" s="461"/>
      <c r="C172" s="462"/>
      <c r="D172" s="462"/>
      <c r="E172" s="462"/>
      <c r="F172" s="462"/>
      <c r="G172" s="462"/>
      <c r="H172" s="462"/>
      <c r="I172" s="462"/>
      <c r="J172" s="462"/>
      <c r="K172" s="463"/>
    </row>
    <row r="173" spans="1:11" ht="18.75">
      <c r="A173" s="464"/>
      <c r="B173" s="465"/>
      <c r="C173" s="466"/>
      <c r="D173" s="467"/>
      <c r="E173" s="467"/>
      <c r="F173" s="467"/>
      <c r="G173" s="467"/>
      <c r="H173" s="467"/>
      <c r="I173" s="467"/>
      <c r="J173" s="467"/>
      <c r="K173" s="439"/>
    </row>
    <row r="174" spans="1:11" ht="34.5" customHeight="1">
      <c r="A174" s="460" t="s">
        <v>426</v>
      </c>
      <c r="B174" s="465"/>
      <c r="C174" s="468" t="s">
        <v>427</v>
      </c>
      <c r="D174" s="468"/>
      <c r="E174" s="468"/>
      <c r="F174" s="468"/>
      <c r="G174" s="469"/>
      <c r="H174" s="470" t="s">
        <v>428</v>
      </c>
      <c r="I174" s="470"/>
      <c r="J174" s="470"/>
      <c r="K174" s="439"/>
    </row>
    <row r="175" spans="1:11" ht="18.75" customHeight="1">
      <c r="A175" s="471" t="s">
        <v>429</v>
      </c>
      <c r="B175" s="439"/>
      <c r="C175" s="472" t="s">
        <v>430</v>
      </c>
      <c r="D175" s="472"/>
      <c r="E175" s="472"/>
      <c r="F175" s="472"/>
      <c r="G175" s="473"/>
      <c r="H175" s="474" t="s">
        <v>431</v>
      </c>
      <c r="I175" s="474"/>
      <c r="J175" s="474"/>
      <c r="K175" s="475"/>
    </row>
    <row r="176" spans="1:11" ht="18.75">
      <c r="A176" s="439"/>
      <c r="B176" s="465"/>
      <c r="C176" s="474"/>
      <c r="D176" s="474"/>
      <c r="E176" s="474"/>
      <c r="F176" s="470"/>
      <c r="G176" s="470"/>
      <c r="H176" s="470"/>
      <c r="I176" s="470"/>
      <c r="J176" s="470"/>
      <c r="K176" s="439"/>
    </row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</sheetData>
  <sheetProtection selectLockedCells="1" selectUnlockedCells="1"/>
  <autoFilter ref="A5:K171"/>
  <mergeCells count="14">
    <mergeCell ref="A1:K1"/>
    <mergeCell ref="A3:A4"/>
    <mergeCell ref="B3:B4"/>
    <mergeCell ref="C3:C4"/>
    <mergeCell ref="D3:D4"/>
    <mergeCell ref="E3:E4"/>
    <mergeCell ref="F3:F4"/>
    <mergeCell ref="G3:J3"/>
    <mergeCell ref="K3:K4"/>
    <mergeCell ref="A163:K163"/>
    <mergeCell ref="C174:F174"/>
    <mergeCell ref="H174:J174"/>
    <mergeCell ref="C175:F175"/>
    <mergeCell ref="H175:J17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5" zoomScaleNormal="65" zoomScaleSheetLayoutView="65" workbookViewId="0" topLeftCell="A1">
      <selection activeCell="B6" sqref="B6"/>
    </sheetView>
  </sheetViews>
  <sheetFormatPr defaultColWidth="11.00390625" defaultRowHeight="12.75"/>
  <cols>
    <col min="1" max="1" width="53.375" style="0" customWidth="1"/>
    <col min="2" max="2" width="11.50390625" style="0" customWidth="1"/>
    <col min="3" max="10" width="17.875" style="0" customWidth="1"/>
    <col min="11" max="16384" width="11.50390625" style="0" customWidth="1"/>
  </cols>
  <sheetData>
    <row r="1" spans="1:10" ht="18.75">
      <c r="A1" s="476" t="s">
        <v>432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ht="18.75">
      <c r="A2" s="439"/>
      <c r="B2" s="439"/>
      <c r="C2" s="439"/>
      <c r="D2" s="439"/>
      <c r="E2" s="439"/>
      <c r="F2" s="439"/>
      <c r="G2" s="439"/>
      <c r="H2" s="439"/>
      <c r="I2" s="439"/>
      <c r="J2" s="439"/>
    </row>
    <row r="3" spans="1:10" ht="18.75" customHeight="1">
      <c r="A3" s="440" t="s">
        <v>32</v>
      </c>
      <c r="B3" s="441" t="s">
        <v>33</v>
      </c>
      <c r="C3" s="441" t="s">
        <v>245</v>
      </c>
      <c r="D3" s="441" t="s">
        <v>246</v>
      </c>
      <c r="E3" s="477" t="s">
        <v>247</v>
      </c>
      <c r="F3" s="441" t="s">
        <v>433</v>
      </c>
      <c r="G3" s="441" t="s">
        <v>304</v>
      </c>
      <c r="H3" s="441"/>
      <c r="I3" s="441"/>
      <c r="J3" s="441"/>
    </row>
    <row r="4" spans="1:10" ht="34.5" customHeight="1">
      <c r="A4" s="440"/>
      <c r="B4" s="441"/>
      <c r="C4" s="441"/>
      <c r="D4" s="441"/>
      <c r="E4" s="477"/>
      <c r="F4" s="441"/>
      <c r="G4" s="477" t="s">
        <v>250</v>
      </c>
      <c r="H4" s="477" t="s">
        <v>251</v>
      </c>
      <c r="I4" s="477" t="s">
        <v>252</v>
      </c>
      <c r="J4" s="477" t="s">
        <v>253</v>
      </c>
    </row>
    <row r="5" spans="1:10" ht="18.75">
      <c r="A5" s="440">
        <v>1</v>
      </c>
      <c r="B5" s="441">
        <v>2</v>
      </c>
      <c r="C5" s="441">
        <v>3</v>
      </c>
      <c r="D5" s="441">
        <v>4</v>
      </c>
      <c r="E5" s="441">
        <v>5</v>
      </c>
      <c r="F5" s="441">
        <v>6</v>
      </c>
      <c r="G5" s="441">
        <v>7</v>
      </c>
      <c r="H5" s="441">
        <v>8</v>
      </c>
      <c r="I5" s="441">
        <v>9</v>
      </c>
      <c r="J5" s="441">
        <v>10</v>
      </c>
    </row>
    <row r="6" spans="1:10" ht="34.5">
      <c r="A6" s="478" t="s">
        <v>434</v>
      </c>
      <c r="B6" s="479">
        <v>4000</v>
      </c>
      <c r="C6" s="450">
        <f>SUM(C7:C16)</f>
        <v>9420.494999999999</v>
      </c>
      <c r="D6" s="450">
        <f>SUM(D7:D16)</f>
        <v>82902.7</v>
      </c>
      <c r="E6" s="450">
        <f>SUM(E7:E16)</f>
        <v>82902.7</v>
      </c>
      <c r="F6" s="450">
        <f>SUM(F7:F17)</f>
        <v>9560</v>
      </c>
      <c r="G6" s="450">
        <f>SUM(G7:G17)</f>
        <v>4360</v>
      </c>
      <c r="H6" s="450">
        <f>SUM(H7:H17)</f>
        <v>4100</v>
      </c>
      <c r="I6" s="450">
        <f>SUM(I7:I17)</f>
        <v>750</v>
      </c>
      <c r="J6" s="450">
        <f>SUM(J7:J17)</f>
        <v>350</v>
      </c>
    </row>
    <row r="7" spans="1:10" ht="18.75">
      <c r="A7" s="445" t="s">
        <v>140</v>
      </c>
      <c r="B7" s="480" t="s">
        <v>141</v>
      </c>
      <c r="C7" s="481">
        <v>3814.2</v>
      </c>
      <c r="D7" s="481">
        <v>0</v>
      </c>
      <c r="E7" s="481">
        <v>0</v>
      </c>
      <c r="F7" s="481">
        <v>0</v>
      </c>
      <c r="G7" s="481">
        <v>0</v>
      </c>
      <c r="H7" s="481">
        <v>0</v>
      </c>
      <c r="I7" s="481">
        <v>0</v>
      </c>
      <c r="J7" s="481">
        <v>0</v>
      </c>
    </row>
    <row r="8" spans="1:10" ht="18.75">
      <c r="A8" s="445" t="s">
        <v>142</v>
      </c>
      <c r="B8" s="480">
        <v>4020</v>
      </c>
      <c r="C8" s="481">
        <v>5606.295</v>
      </c>
      <c r="D8" s="481">
        <f>9960+56000</f>
        <v>65960</v>
      </c>
      <c r="E8" s="481">
        <v>65960</v>
      </c>
      <c r="F8" s="446">
        <v>0</v>
      </c>
      <c r="G8" s="481">
        <v>0</v>
      </c>
      <c r="H8" s="481">
        <v>0</v>
      </c>
      <c r="I8" s="481">
        <v>0</v>
      </c>
      <c r="J8" s="481">
        <v>0</v>
      </c>
    </row>
    <row r="9" spans="1:10" ht="34.5">
      <c r="A9" s="445" t="s">
        <v>143</v>
      </c>
      <c r="B9" s="480">
        <v>4030</v>
      </c>
      <c r="C9" s="481">
        <v>0</v>
      </c>
      <c r="D9" s="481">
        <v>0</v>
      </c>
      <c r="E9" s="481">
        <v>0</v>
      </c>
      <c r="F9" s="481">
        <v>0</v>
      </c>
      <c r="G9" s="481">
        <v>0</v>
      </c>
      <c r="H9" s="481">
        <v>0</v>
      </c>
      <c r="I9" s="481">
        <v>0</v>
      </c>
      <c r="J9" s="481">
        <v>0</v>
      </c>
    </row>
    <row r="10" spans="1:10" ht="34.5">
      <c r="A10" s="445" t="s">
        <v>144</v>
      </c>
      <c r="B10" s="480">
        <v>4040</v>
      </c>
      <c r="C10" s="481">
        <v>0</v>
      </c>
      <c r="D10" s="481">
        <v>0</v>
      </c>
      <c r="E10" s="481">
        <v>0</v>
      </c>
      <c r="F10" s="481">
        <v>0</v>
      </c>
      <c r="G10" s="481">
        <v>0</v>
      </c>
      <c r="H10" s="481">
        <v>0</v>
      </c>
      <c r="I10" s="481">
        <v>0</v>
      </c>
      <c r="J10" s="481">
        <v>0</v>
      </c>
    </row>
    <row r="11" spans="1:10" ht="51.75">
      <c r="A11" s="445" t="s">
        <v>145</v>
      </c>
      <c r="B11" s="480">
        <v>4050</v>
      </c>
      <c r="C11" s="481">
        <v>0</v>
      </c>
      <c r="D11" s="481">
        <v>0</v>
      </c>
      <c r="E11" s="481">
        <v>0</v>
      </c>
      <c r="F11" s="446">
        <v>0</v>
      </c>
      <c r="G11" s="481">
        <v>0</v>
      </c>
      <c r="H11" s="481">
        <v>0</v>
      </c>
      <c r="I11" s="481">
        <v>0</v>
      </c>
      <c r="J11" s="481">
        <v>0</v>
      </c>
    </row>
    <row r="12" spans="1:10" ht="51.75">
      <c r="A12" s="445" t="s">
        <v>147</v>
      </c>
      <c r="B12" s="480">
        <v>4060</v>
      </c>
      <c r="C12" s="481">
        <v>0</v>
      </c>
      <c r="D12" s="481">
        <v>0</v>
      </c>
      <c r="E12" s="481">
        <v>0</v>
      </c>
      <c r="F12" s="446">
        <v>200</v>
      </c>
      <c r="G12" s="481">
        <v>200</v>
      </c>
      <c r="H12" s="481">
        <v>0</v>
      </c>
      <c r="I12" s="481">
        <v>0</v>
      </c>
      <c r="J12" s="481">
        <v>0</v>
      </c>
    </row>
    <row r="13" spans="1:10" ht="34.5">
      <c r="A13" s="445" t="s">
        <v>435</v>
      </c>
      <c r="B13" s="480">
        <v>4070</v>
      </c>
      <c r="C13" s="481">
        <v>0</v>
      </c>
      <c r="D13" s="481">
        <v>0</v>
      </c>
      <c r="E13" s="481">
        <v>0</v>
      </c>
      <c r="F13" s="446">
        <v>60</v>
      </c>
      <c r="G13" s="481">
        <v>60</v>
      </c>
      <c r="H13" s="481">
        <v>0</v>
      </c>
      <c r="I13" s="481">
        <v>0</v>
      </c>
      <c r="J13" s="481">
        <v>0</v>
      </c>
    </row>
    <row r="14" spans="1:10" ht="68.25">
      <c r="A14" s="445" t="s">
        <v>149</v>
      </c>
      <c r="B14" s="480">
        <v>4080</v>
      </c>
      <c r="C14" s="481">
        <v>0</v>
      </c>
      <c r="D14" s="481">
        <v>0</v>
      </c>
      <c r="E14" s="481">
        <v>0</v>
      </c>
      <c r="F14" s="446">
        <v>150</v>
      </c>
      <c r="G14" s="481">
        <v>0</v>
      </c>
      <c r="H14" s="481">
        <v>0</v>
      </c>
      <c r="I14" s="481">
        <v>150</v>
      </c>
      <c r="J14" s="481">
        <v>0</v>
      </c>
    </row>
    <row r="15" spans="1:10" ht="34.5">
      <c r="A15" s="445" t="s">
        <v>436</v>
      </c>
      <c r="B15" s="480">
        <v>4090</v>
      </c>
      <c r="C15" s="481">
        <v>0</v>
      </c>
      <c r="D15" s="481">
        <v>0</v>
      </c>
      <c r="E15" s="481">
        <v>0</v>
      </c>
      <c r="F15" s="446">
        <v>150</v>
      </c>
      <c r="G15" s="481">
        <v>0</v>
      </c>
      <c r="H15" s="481">
        <v>0</v>
      </c>
      <c r="I15" s="481">
        <v>0</v>
      </c>
      <c r="J15" s="481">
        <v>150</v>
      </c>
    </row>
    <row r="16" spans="1:10" ht="18.75">
      <c r="A16" s="445" t="s">
        <v>146</v>
      </c>
      <c r="B16" s="482">
        <v>4100</v>
      </c>
      <c r="C16" s="483">
        <v>0</v>
      </c>
      <c r="D16" s="481">
        <v>16942.7</v>
      </c>
      <c r="E16" s="481">
        <v>16942.7</v>
      </c>
      <c r="F16" s="446">
        <f>SUM(G16:J16)</f>
        <v>7000</v>
      </c>
      <c r="G16" s="481">
        <v>3500</v>
      </c>
      <c r="H16" s="481">
        <v>3500</v>
      </c>
      <c r="I16" s="481">
        <v>0</v>
      </c>
      <c r="J16" s="481">
        <v>0</v>
      </c>
    </row>
    <row r="17" spans="1:10" ht="34.5">
      <c r="A17" s="445" t="s">
        <v>437</v>
      </c>
      <c r="B17" s="482">
        <v>4110</v>
      </c>
      <c r="C17" s="483">
        <v>0</v>
      </c>
      <c r="D17" s="481">
        <v>0</v>
      </c>
      <c r="E17" s="481">
        <v>0</v>
      </c>
      <c r="F17" s="446">
        <v>2000</v>
      </c>
      <c r="G17" s="481">
        <v>600</v>
      </c>
      <c r="H17" s="481">
        <v>600</v>
      </c>
      <c r="I17" s="481">
        <v>600</v>
      </c>
      <c r="J17" s="481">
        <v>200</v>
      </c>
    </row>
    <row r="18" ht="14.25"/>
    <row r="19" ht="14.25"/>
  </sheetData>
  <sheetProtection selectLockedCells="1" selectUnlockedCells="1"/>
  <mergeCells count="9">
    <mergeCell ref="A1:J1"/>
    <mergeCell ref="A2:J2"/>
    <mergeCell ref="A3:A4"/>
    <mergeCell ref="B3:B4"/>
    <mergeCell ref="C3:C4"/>
    <mergeCell ref="D3:D4"/>
    <mergeCell ref="E3:E4"/>
    <mergeCell ref="F3:F4"/>
    <mergeCell ref="G3:J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5" zoomScaleNormal="65" zoomScaleSheetLayoutView="65" workbookViewId="0" topLeftCell="A1">
      <selection activeCell="W21" sqref="W21"/>
    </sheetView>
  </sheetViews>
  <sheetFormatPr defaultColWidth="11.00390625" defaultRowHeight="12.75"/>
  <cols>
    <col min="1" max="1" width="28.00390625" style="0" customWidth="1"/>
    <col min="2" max="16384" width="11.50390625" style="0" customWidth="1"/>
  </cols>
  <sheetData>
    <row r="1" spans="1:15" ht="24">
      <c r="A1" s="484" t="s">
        <v>438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</row>
    <row r="2" spans="1:15" ht="24">
      <c r="A2" s="484" t="s">
        <v>439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</row>
    <row r="3" spans="1:15" ht="24">
      <c r="A3" s="485" t="s">
        <v>440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</row>
    <row r="4" spans="1:15" ht="24">
      <c r="A4" s="485" t="s">
        <v>441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</row>
    <row r="5" spans="1:15" ht="24">
      <c r="A5" s="486" t="s">
        <v>442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</row>
    <row r="6" spans="1:15" ht="24">
      <c r="A6" s="487"/>
      <c r="B6" s="487"/>
      <c r="C6" s="487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</row>
    <row r="7" spans="1:15" ht="24" customHeight="1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</row>
    <row r="8" spans="1:15" ht="24">
      <c r="A8" s="490"/>
      <c r="B8" s="490"/>
      <c r="C8" s="490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</row>
    <row r="9" spans="1:15" ht="67.5" customHeight="1">
      <c r="A9" s="492" t="s">
        <v>32</v>
      </c>
      <c r="B9" s="492"/>
      <c r="C9" s="492"/>
      <c r="D9" s="493" t="s">
        <v>443</v>
      </c>
      <c r="E9" s="493"/>
      <c r="F9" s="493" t="s">
        <v>444</v>
      </c>
      <c r="G9" s="493"/>
      <c r="H9" s="493" t="s">
        <v>247</v>
      </c>
      <c r="I9" s="493"/>
      <c r="J9" s="493" t="s">
        <v>248</v>
      </c>
      <c r="K9" s="493"/>
      <c r="L9" s="493" t="s">
        <v>445</v>
      </c>
      <c r="M9" s="493"/>
      <c r="N9" s="493" t="s">
        <v>446</v>
      </c>
      <c r="O9" s="493"/>
    </row>
    <row r="10" spans="1:15" ht="24" customHeight="1">
      <c r="A10" s="492">
        <v>1</v>
      </c>
      <c r="B10" s="492"/>
      <c r="C10" s="492"/>
      <c r="D10" s="493">
        <v>2</v>
      </c>
      <c r="E10" s="493"/>
      <c r="F10" s="493">
        <v>3</v>
      </c>
      <c r="G10" s="493"/>
      <c r="H10" s="493">
        <v>4</v>
      </c>
      <c r="I10" s="493"/>
      <c r="J10" s="493">
        <v>5</v>
      </c>
      <c r="K10" s="493"/>
      <c r="L10" s="493">
        <v>6</v>
      </c>
      <c r="M10" s="493"/>
      <c r="N10" s="493">
        <v>7</v>
      </c>
      <c r="O10" s="493"/>
    </row>
    <row r="11" spans="1:15" ht="76.5" customHeight="1">
      <c r="A11" s="494" t="s">
        <v>214</v>
      </c>
      <c r="B11" s="494"/>
      <c r="C11" s="494"/>
      <c r="D11" s="495">
        <f>SUM(D12:D14)</f>
        <v>966</v>
      </c>
      <c r="E11" s="495"/>
      <c r="F11" s="495">
        <f>SUM(F12:F14)</f>
        <v>996</v>
      </c>
      <c r="G11" s="495"/>
      <c r="H11" s="495">
        <f>SUM(H12:H14)</f>
        <v>996</v>
      </c>
      <c r="I11" s="495"/>
      <c r="J11" s="496">
        <v>996</v>
      </c>
      <c r="K11" s="496"/>
      <c r="L11" s="497">
        <f aca="true" t="shared" si="0" ref="L11:L26">J11/H11*100</f>
        <v>100</v>
      </c>
      <c r="M11" s="497"/>
      <c r="N11" s="497">
        <f aca="true" t="shared" si="1" ref="N11:N26">J11/D11*100</f>
        <v>103.1055900621118</v>
      </c>
      <c r="O11" s="497"/>
    </row>
    <row r="12" spans="1:15" ht="39.75" customHeight="1">
      <c r="A12" s="498" t="s">
        <v>216</v>
      </c>
      <c r="B12" s="498"/>
      <c r="C12" s="498"/>
      <c r="D12" s="499">
        <v>1</v>
      </c>
      <c r="E12" s="499"/>
      <c r="F12" s="499">
        <v>1</v>
      </c>
      <c r="G12" s="499"/>
      <c r="H12" s="499">
        <v>1</v>
      </c>
      <c r="I12" s="499"/>
      <c r="J12" s="499">
        <v>1</v>
      </c>
      <c r="K12" s="499"/>
      <c r="L12" s="500">
        <f t="shared" si="0"/>
        <v>100</v>
      </c>
      <c r="M12" s="500"/>
      <c r="N12" s="500">
        <f t="shared" si="1"/>
        <v>100</v>
      </c>
      <c r="O12" s="500"/>
    </row>
    <row r="13" spans="1:15" ht="67.5" customHeight="1">
      <c r="A13" s="498" t="s">
        <v>218</v>
      </c>
      <c r="B13" s="498"/>
      <c r="C13" s="498"/>
      <c r="D13" s="499">
        <v>29</v>
      </c>
      <c r="E13" s="499"/>
      <c r="F13" s="499">
        <v>31</v>
      </c>
      <c r="G13" s="499"/>
      <c r="H13" s="499">
        <v>31</v>
      </c>
      <c r="I13" s="499"/>
      <c r="J13" s="499">
        <v>31</v>
      </c>
      <c r="K13" s="499"/>
      <c r="L13" s="500">
        <f t="shared" si="0"/>
        <v>100</v>
      </c>
      <c r="M13" s="500"/>
      <c r="N13" s="500">
        <f t="shared" si="1"/>
        <v>106.89655172413792</v>
      </c>
      <c r="O13" s="500"/>
    </row>
    <row r="14" spans="1:15" ht="24" customHeight="1">
      <c r="A14" s="498" t="s">
        <v>220</v>
      </c>
      <c r="B14" s="498"/>
      <c r="C14" s="498"/>
      <c r="D14" s="499">
        <v>936</v>
      </c>
      <c r="E14" s="499"/>
      <c r="F14" s="499">
        <v>964</v>
      </c>
      <c r="G14" s="499"/>
      <c r="H14" s="499">
        <v>964</v>
      </c>
      <c r="I14" s="499"/>
      <c r="J14" s="501">
        <v>964</v>
      </c>
      <c r="K14" s="501"/>
      <c r="L14" s="500">
        <f t="shared" si="0"/>
        <v>100</v>
      </c>
      <c r="M14" s="500"/>
      <c r="N14" s="500">
        <f t="shared" si="1"/>
        <v>102.99145299145297</v>
      </c>
      <c r="O14" s="500"/>
    </row>
    <row r="15" spans="1:15" ht="67.5" customHeight="1">
      <c r="A15" s="494" t="s">
        <v>447</v>
      </c>
      <c r="B15" s="494"/>
      <c r="C15" s="494"/>
      <c r="D15" s="502">
        <f>SUM(D16:D18)</f>
        <v>42483.9</v>
      </c>
      <c r="E15" s="502"/>
      <c r="F15" s="502">
        <f>SUM(F16:F18)</f>
        <v>47109</v>
      </c>
      <c r="G15" s="502"/>
      <c r="H15" s="502">
        <f>SUM(H16:H18)</f>
        <v>47617.2</v>
      </c>
      <c r="I15" s="502"/>
      <c r="J15" s="502">
        <f>SUM(J16:J18)</f>
        <v>53756.299999999996</v>
      </c>
      <c r="K15" s="502"/>
      <c r="L15" s="500">
        <f t="shared" si="0"/>
        <v>112.89261023327705</v>
      </c>
      <c r="M15" s="500"/>
      <c r="N15" s="500">
        <f t="shared" si="1"/>
        <v>126.53334557326421</v>
      </c>
      <c r="O15" s="500"/>
    </row>
    <row r="16" spans="1:15" ht="24" customHeight="1">
      <c r="A16" s="498" t="s">
        <v>216</v>
      </c>
      <c r="B16" s="498"/>
      <c r="C16" s="498"/>
      <c r="D16" s="503">
        <v>118.5</v>
      </c>
      <c r="E16" s="503"/>
      <c r="F16" s="504">
        <v>152.9</v>
      </c>
      <c r="G16" s="504"/>
      <c r="H16" s="504">
        <v>152.9</v>
      </c>
      <c r="I16" s="504"/>
      <c r="J16" s="504">
        <v>185.7</v>
      </c>
      <c r="K16" s="504"/>
      <c r="L16" s="500">
        <f t="shared" si="0"/>
        <v>121.4519293655984</v>
      </c>
      <c r="M16" s="500"/>
      <c r="N16" s="500">
        <f t="shared" si="1"/>
        <v>156.70886075949366</v>
      </c>
      <c r="O16" s="500"/>
    </row>
    <row r="17" spans="1:15" ht="67.5" customHeight="1">
      <c r="A17" s="498" t="s">
        <v>218</v>
      </c>
      <c r="B17" s="498"/>
      <c r="C17" s="498"/>
      <c r="D17" s="504">
        <v>1745.6</v>
      </c>
      <c r="E17" s="504"/>
      <c r="F17" s="504">
        <v>1976.7</v>
      </c>
      <c r="G17" s="504"/>
      <c r="H17" s="504">
        <v>1976.7</v>
      </c>
      <c r="I17" s="504"/>
      <c r="J17" s="504">
        <v>2288.5</v>
      </c>
      <c r="K17" s="504"/>
      <c r="L17" s="500">
        <f t="shared" si="0"/>
        <v>115.77376435473263</v>
      </c>
      <c r="M17" s="500"/>
      <c r="N17" s="500">
        <f t="shared" si="1"/>
        <v>131.10105407882676</v>
      </c>
      <c r="O17" s="500"/>
    </row>
    <row r="18" spans="1:15" ht="24" customHeight="1">
      <c r="A18" s="498" t="s">
        <v>220</v>
      </c>
      <c r="B18" s="498"/>
      <c r="C18" s="498"/>
      <c r="D18" s="504">
        <v>40619.8</v>
      </c>
      <c r="E18" s="504"/>
      <c r="F18" s="504">
        <v>44979.4</v>
      </c>
      <c r="G18" s="504"/>
      <c r="H18" s="504">
        <v>45487.6</v>
      </c>
      <c r="I18" s="504"/>
      <c r="J18" s="504">
        <v>51282.1</v>
      </c>
      <c r="K18" s="504"/>
      <c r="L18" s="500">
        <f t="shared" si="0"/>
        <v>112.73863646356371</v>
      </c>
      <c r="M18" s="500"/>
      <c r="N18" s="500">
        <f t="shared" si="1"/>
        <v>126.24902141320243</v>
      </c>
      <c r="O18" s="500"/>
    </row>
    <row r="19" spans="1:15" ht="67.5" customHeight="1">
      <c r="A19" s="494" t="s">
        <v>448</v>
      </c>
      <c r="B19" s="494"/>
      <c r="C19" s="494"/>
      <c r="D19" s="502">
        <f>D20+D21+D22</f>
        <v>42483.9</v>
      </c>
      <c r="E19" s="502"/>
      <c r="F19" s="502">
        <f>F20+F21+F22</f>
        <v>47109</v>
      </c>
      <c r="G19" s="502"/>
      <c r="H19" s="502">
        <f>H20+H21+H22</f>
        <v>47617.2</v>
      </c>
      <c r="I19" s="502"/>
      <c r="J19" s="502">
        <f>J20+J21+J22</f>
        <v>53756.299999999996</v>
      </c>
      <c r="K19" s="502"/>
      <c r="L19" s="500">
        <f t="shared" si="0"/>
        <v>112.89261023327705</v>
      </c>
      <c r="M19" s="500"/>
      <c r="N19" s="500">
        <f t="shared" si="1"/>
        <v>126.53334557326421</v>
      </c>
      <c r="O19" s="500"/>
    </row>
    <row r="20" spans="1:15" ht="24" customHeight="1">
      <c r="A20" s="498" t="s">
        <v>216</v>
      </c>
      <c r="B20" s="498"/>
      <c r="C20" s="498"/>
      <c r="D20" s="503">
        <v>118.5</v>
      </c>
      <c r="E20" s="503"/>
      <c r="F20" s="504">
        <v>152.9</v>
      </c>
      <c r="G20" s="504"/>
      <c r="H20" s="504">
        <v>152.9</v>
      </c>
      <c r="I20" s="504"/>
      <c r="J20" s="504">
        <v>185.7</v>
      </c>
      <c r="K20" s="504"/>
      <c r="L20" s="500">
        <f t="shared" si="0"/>
        <v>121.4519293655984</v>
      </c>
      <c r="M20" s="500"/>
      <c r="N20" s="500">
        <f t="shared" si="1"/>
        <v>156.70886075949366</v>
      </c>
      <c r="O20" s="500"/>
    </row>
    <row r="21" spans="1:15" ht="67.5" customHeight="1">
      <c r="A21" s="498" t="s">
        <v>218</v>
      </c>
      <c r="B21" s="498"/>
      <c r="C21" s="498"/>
      <c r="D21" s="504">
        <v>1745.6</v>
      </c>
      <c r="E21" s="504"/>
      <c r="F21" s="504">
        <v>1976.7</v>
      </c>
      <c r="G21" s="504"/>
      <c r="H21" s="504">
        <v>1976.7</v>
      </c>
      <c r="I21" s="504"/>
      <c r="J21" s="504">
        <v>2288.5</v>
      </c>
      <c r="K21" s="504"/>
      <c r="L21" s="500">
        <f t="shared" si="0"/>
        <v>115.77376435473263</v>
      </c>
      <c r="M21" s="500"/>
      <c r="N21" s="500">
        <f t="shared" si="1"/>
        <v>131.10105407882676</v>
      </c>
      <c r="O21" s="500"/>
    </row>
    <row r="22" spans="1:15" ht="24" customHeight="1">
      <c r="A22" s="498" t="s">
        <v>220</v>
      </c>
      <c r="B22" s="498"/>
      <c r="C22" s="498"/>
      <c r="D22" s="504">
        <v>40619.8</v>
      </c>
      <c r="E22" s="504"/>
      <c r="F22" s="504">
        <v>44979.4</v>
      </c>
      <c r="G22" s="504"/>
      <c r="H22" s="504">
        <v>45487.6</v>
      </c>
      <c r="I22" s="504"/>
      <c r="J22" s="504">
        <v>51282.1</v>
      </c>
      <c r="K22" s="504"/>
      <c r="L22" s="500">
        <f t="shared" si="0"/>
        <v>112.73863646356371</v>
      </c>
      <c r="M22" s="500"/>
      <c r="N22" s="500">
        <f t="shared" si="1"/>
        <v>126.24902141320243</v>
      </c>
      <c r="O22" s="500"/>
    </row>
    <row r="23" spans="1:15" ht="111" customHeight="1">
      <c r="A23" s="494" t="s">
        <v>449</v>
      </c>
      <c r="B23" s="494"/>
      <c r="C23" s="494"/>
      <c r="D23" s="505">
        <f>D19/D11/12*1000</f>
        <v>3664.9327122153213</v>
      </c>
      <c r="E23" s="505"/>
      <c r="F23" s="506">
        <f>F15/F11/12*1000</f>
        <v>3941.516064257028</v>
      </c>
      <c r="G23" s="506"/>
      <c r="H23" s="506">
        <f>H15/H11/12*1000</f>
        <v>3984.036144578313</v>
      </c>
      <c r="I23" s="506"/>
      <c r="J23" s="506">
        <f>J15/J11/12*1000</f>
        <v>4497.682396251674</v>
      </c>
      <c r="K23" s="506"/>
      <c r="L23" s="500">
        <f t="shared" si="0"/>
        <v>112.89261023327708</v>
      </c>
      <c r="M23" s="500"/>
      <c r="N23" s="500">
        <f t="shared" si="1"/>
        <v>122.72210022467192</v>
      </c>
      <c r="O23" s="500"/>
    </row>
    <row r="24" spans="1:15" ht="24" customHeight="1">
      <c r="A24" s="498" t="s">
        <v>216</v>
      </c>
      <c r="B24" s="498"/>
      <c r="C24" s="498"/>
      <c r="D24" s="506">
        <f>D16/1/12*1000</f>
        <v>9875</v>
      </c>
      <c r="E24" s="506"/>
      <c r="F24" s="506">
        <f>F16/1/12*1000</f>
        <v>12741.666666666668</v>
      </c>
      <c r="G24" s="506"/>
      <c r="H24" s="506">
        <f>H16/1/12*1000</f>
        <v>12741.666666666668</v>
      </c>
      <c r="I24" s="506"/>
      <c r="J24" s="506">
        <f>J16/1/12*1000</f>
        <v>15475</v>
      </c>
      <c r="K24" s="506"/>
      <c r="L24" s="500">
        <f t="shared" si="0"/>
        <v>121.4519293655984</v>
      </c>
      <c r="M24" s="500"/>
      <c r="N24" s="500">
        <f t="shared" si="1"/>
        <v>156.70886075949366</v>
      </c>
      <c r="O24" s="500"/>
    </row>
    <row r="25" spans="1:15" ht="67.5" customHeight="1">
      <c r="A25" s="498" t="s">
        <v>218</v>
      </c>
      <c r="B25" s="498"/>
      <c r="C25" s="498"/>
      <c r="D25" s="506">
        <f aca="true" t="shared" si="2" ref="D25:D26">D17/D13/12*1000</f>
        <v>5016.091954022988</v>
      </c>
      <c r="E25" s="506"/>
      <c r="F25" s="506">
        <f aca="true" t="shared" si="3" ref="F25:F26">F17/F13/12*1000</f>
        <v>5313.709677419354</v>
      </c>
      <c r="G25" s="506"/>
      <c r="H25" s="506">
        <f aca="true" t="shared" si="4" ref="H25:H26">H17/H13/12*1000</f>
        <v>5313.709677419354</v>
      </c>
      <c r="I25" s="506"/>
      <c r="J25" s="506">
        <f aca="true" t="shared" si="5" ref="J25:J26">J17/J13/12*1000</f>
        <v>6151.881720430108</v>
      </c>
      <c r="K25" s="506"/>
      <c r="L25" s="500">
        <f t="shared" si="0"/>
        <v>115.77376435473266</v>
      </c>
      <c r="M25" s="500"/>
      <c r="N25" s="500">
        <f t="shared" si="1"/>
        <v>122.64292155761215</v>
      </c>
      <c r="O25" s="500"/>
    </row>
    <row r="26" spans="1:15" ht="24" customHeight="1">
      <c r="A26" s="498" t="s">
        <v>220</v>
      </c>
      <c r="B26" s="498"/>
      <c r="C26" s="498"/>
      <c r="D26" s="506">
        <f t="shared" si="2"/>
        <v>3616.4351851851857</v>
      </c>
      <c r="E26" s="506"/>
      <c r="F26" s="506">
        <f t="shared" si="3"/>
        <v>3888.2607192254495</v>
      </c>
      <c r="G26" s="506"/>
      <c r="H26" s="506">
        <f t="shared" si="4"/>
        <v>3932.1922544951594</v>
      </c>
      <c r="I26" s="506"/>
      <c r="J26" s="506">
        <f t="shared" si="5"/>
        <v>4433.099930843707</v>
      </c>
      <c r="K26" s="506"/>
      <c r="L26" s="500">
        <f t="shared" si="0"/>
        <v>112.73863646356368</v>
      </c>
      <c r="M26" s="500"/>
      <c r="N26" s="500">
        <f t="shared" si="1"/>
        <v>122.58203738875255</v>
      </c>
      <c r="O26" s="500"/>
    </row>
    <row r="27" spans="1:15" ht="24">
      <c r="A27" s="507"/>
      <c r="B27" s="507"/>
      <c r="C27" s="507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</row>
    <row r="28" spans="1:15" ht="132.75" customHeight="1">
      <c r="A28" s="509" t="s">
        <v>450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</row>
  </sheetData>
  <sheetProtection selectLockedCells="1" selectUnlockedCells="1"/>
  <mergeCells count="133">
    <mergeCell ref="A1:O1"/>
    <mergeCell ref="A2:O2"/>
    <mergeCell ref="A3:O3"/>
    <mergeCell ref="A4:O4"/>
    <mergeCell ref="A5:O5"/>
    <mergeCell ref="A7:O7"/>
    <mergeCell ref="A9:C9"/>
    <mergeCell ref="D9:E9"/>
    <mergeCell ref="F9:G9"/>
    <mergeCell ref="H9:I9"/>
    <mergeCell ref="J9:K9"/>
    <mergeCell ref="L9:M9"/>
    <mergeCell ref="N9:O9"/>
    <mergeCell ref="A10:C10"/>
    <mergeCell ref="D10:E10"/>
    <mergeCell ref="F10:G10"/>
    <mergeCell ref="H10:I10"/>
    <mergeCell ref="J10:K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A12:C12"/>
    <mergeCell ref="D12:E12"/>
    <mergeCell ref="F12:G12"/>
    <mergeCell ref="H12:I12"/>
    <mergeCell ref="J12:K12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A15:C15"/>
    <mergeCell ref="D15:E15"/>
    <mergeCell ref="F15:G15"/>
    <mergeCell ref="H15:I15"/>
    <mergeCell ref="J15:K15"/>
    <mergeCell ref="L15:M15"/>
    <mergeCell ref="N15:O15"/>
    <mergeCell ref="A16:C16"/>
    <mergeCell ref="D16:E16"/>
    <mergeCell ref="F16:G16"/>
    <mergeCell ref="H16:I16"/>
    <mergeCell ref="J16:K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A18:C18"/>
    <mergeCell ref="D18:E18"/>
    <mergeCell ref="F18:G18"/>
    <mergeCell ref="H18:I18"/>
    <mergeCell ref="J18:K18"/>
    <mergeCell ref="L18:M18"/>
    <mergeCell ref="N18:O18"/>
    <mergeCell ref="A19:C19"/>
    <mergeCell ref="D19:E19"/>
    <mergeCell ref="F19:G19"/>
    <mergeCell ref="H19:I19"/>
    <mergeCell ref="J19:K19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A22:C22"/>
    <mergeCell ref="D22:E22"/>
    <mergeCell ref="F22:G22"/>
    <mergeCell ref="H22:I22"/>
    <mergeCell ref="J22:K22"/>
    <mergeCell ref="L22:M22"/>
    <mergeCell ref="N22:O22"/>
    <mergeCell ref="A23:C23"/>
    <mergeCell ref="D23:E23"/>
    <mergeCell ref="F23:G23"/>
    <mergeCell ref="H23:I23"/>
    <mergeCell ref="J23:K23"/>
    <mergeCell ref="L23:M23"/>
    <mergeCell ref="N23:O23"/>
    <mergeCell ref="A24:C24"/>
    <mergeCell ref="D24:E24"/>
    <mergeCell ref="F24:G24"/>
    <mergeCell ref="H24:I24"/>
    <mergeCell ref="J24:K24"/>
    <mergeCell ref="L24:M24"/>
    <mergeCell ref="N24:O24"/>
    <mergeCell ref="A25:C25"/>
    <mergeCell ref="D25:E25"/>
    <mergeCell ref="F25:G25"/>
    <mergeCell ref="H25:I25"/>
    <mergeCell ref="J25:K25"/>
    <mergeCell ref="L25:M25"/>
    <mergeCell ref="N25:O25"/>
    <mergeCell ref="A26:C26"/>
    <mergeCell ref="D26:E26"/>
    <mergeCell ref="F26:G26"/>
    <mergeCell ref="H26:I26"/>
    <mergeCell ref="J26:K26"/>
    <mergeCell ref="L26:M26"/>
    <mergeCell ref="N26:O26"/>
    <mergeCell ref="A28:O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 </cp:lastModifiedBy>
  <cp:lastPrinted>2019-07-30T11:15:25Z</cp:lastPrinted>
  <dcterms:created xsi:type="dcterms:W3CDTF">2003-03-13T16:00:22Z</dcterms:created>
  <dcterms:modified xsi:type="dcterms:W3CDTF">2019-10-16T12:37:35Z</dcterms:modified>
  <cp:category/>
  <cp:version/>
  <cp:contentType/>
  <cp:contentStatus/>
  <cp:revision>227</cp:revision>
</cp:coreProperties>
</file>